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1504403-5CA3-4BC4-A9CC-37E955D6EA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p" sheetId="1" r:id="rId1"/>
    <sheet name="Report" sheetId="2" r:id="rId2"/>
    <sheet name="Utilidad" sheetId="3" r:id="rId3"/>
    <sheet name="Datos Extra" sheetId="4" r:id="rId4"/>
    <sheet name="Flujos" sheetId="5" r:id="rId5"/>
    <sheet name="Mapa de Procesos" sheetId="6" r:id="rId6"/>
  </sheets>
  <definedNames>
    <definedName name="_xlnm.Print_Area" localSheetId="0">Up!$A$1:$BR$62</definedName>
    <definedName name="solver_adj" localSheetId="2" hidden="1">Utilidad!$J$62:$K$116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Utilidad!$P$100</definedName>
    <definedName name="solver_lhs10" localSheetId="2" hidden="1">Utilidad!$P$80</definedName>
    <definedName name="solver_lhs11" localSheetId="2" hidden="1">Utilidad!$P$82</definedName>
    <definedName name="solver_lhs12" localSheetId="2" hidden="1">Utilidad!$P$87</definedName>
    <definedName name="solver_lhs13" localSheetId="2" hidden="1">Utilidad!$P$89</definedName>
    <definedName name="solver_lhs14" localSheetId="2" hidden="1">Utilidad!$P$90</definedName>
    <definedName name="solver_lhs15" localSheetId="2" hidden="1">Utilidad!$P$93</definedName>
    <definedName name="solver_lhs16" localSheetId="2" hidden="1">Utilidad!$P$95</definedName>
    <definedName name="solver_lhs17" localSheetId="2" hidden="1">Utilidad!$P$96</definedName>
    <definedName name="solver_lhs18" localSheetId="2" hidden="1">Utilidad!$P$97</definedName>
    <definedName name="solver_lhs19" localSheetId="2" hidden="1">Utilidad!$P$98</definedName>
    <definedName name="solver_lhs2" localSheetId="2" hidden="1">Utilidad!$P$101</definedName>
    <definedName name="solver_lhs20" localSheetId="2" hidden="1">Utilidad!$R$100</definedName>
    <definedName name="solver_lhs21" localSheetId="2" hidden="1">Utilidad!$R$115</definedName>
    <definedName name="solver_lhs22" localSheetId="2" hidden="1">Utilidad!$R$116</definedName>
    <definedName name="solver_lhs23" localSheetId="2" hidden="1">Utilidad!$R$62</definedName>
    <definedName name="solver_lhs24" localSheetId="2" hidden="1">Utilidad!$R$68</definedName>
    <definedName name="solver_lhs25" localSheetId="2" hidden="1">Utilidad!$R$70</definedName>
    <definedName name="solver_lhs26" localSheetId="2" hidden="1">Utilidad!$R$72</definedName>
    <definedName name="solver_lhs27" localSheetId="2" hidden="1">Utilidad!$R$73</definedName>
    <definedName name="solver_lhs28" localSheetId="2" hidden="1">Utilidad!$R$74</definedName>
    <definedName name="solver_lhs29" localSheetId="2" hidden="1">Utilidad!$R$76</definedName>
    <definedName name="solver_lhs3" localSheetId="2" hidden="1">Utilidad!$P$115</definedName>
    <definedName name="solver_lhs30" localSheetId="2" hidden="1">Utilidad!$R$81</definedName>
    <definedName name="solver_lhs31" localSheetId="2" hidden="1">Utilidad!$R$84</definedName>
    <definedName name="solver_lhs32" localSheetId="2" hidden="1">Utilidad!$R$86</definedName>
    <definedName name="solver_lhs33" localSheetId="2" hidden="1">Utilidad!$R$87</definedName>
    <definedName name="solver_lhs34" localSheetId="2" hidden="1">Utilidad!$R$93</definedName>
    <definedName name="solver_lhs35" localSheetId="2" hidden="1">Utilidad!$R$95</definedName>
    <definedName name="solver_lhs36" localSheetId="2" hidden="1">Utilidad!$R$96</definedName>
    <definedName name="solver_lhs37" localSheetId="2" hidden="1">Utilidad!$R$97</definedName>
    <definedName name="solver_lhs38" localSheetId="2" hidden="1">Utilidad!$R$98</definedName>
    <definedName name="solver_lhs39" localSheetId="2" hidden="1">Utilidad!$V$61:$V$78</definedName>
    <definedName name="solver_lhs4" localSheetId="2" hidden="1">Utilidad!$P$116</definedName>
    <definedName name="solver_lhs40" localSheetId="2" hidden="1">Utilidad!$W$61:$W$78</definedName>
    <definedName name="solver_lhs41" localSheetId="2" hidden="1">Utilidad!$W$62</definedName>
    <definedName name="solver_lhs42" localSheetId="2" hidden="1">Utilidad!$W$65</definedName>
    <definedName name="solver_lhs43" localSheetId="2" hidden="1">Utilidad!$W$63</definedName>
    <definedName name="solver_lhs44" localSheetId="2" hidden="1">Utilidad!$W$66</definedName>
    <definedName name="solver_lhs45" localSheetId="2" hidden="1">Utilidad!$W$67</definedName>
    <definedName name="solver_lhs46" localSheetId="2" hidden="1">Utilidad!$R$75</definedName>
    <definedName name="solver_lhs47" localSheetId="2" hidden="1">Utilidad!$W$76</definedName>
    <definedName name="solver_lhs48" localSheetId="2" hidden="1">Utilidad!$W$77</definedName>
    <definedName name="solver_lhs49" localSheetId="2" hidden="1">Utilidad!$W$74</definedName>
    <definedName name="solver_lhs5" localSheetId="2" hidden="1">Utilidad!$P$63</definedName>
    <definedName name="solver_lhs50" localSheetId="2" hidden="1">Utilidad!$W$75</definedName>
    <definedName name="solver_lhs51" localSheetId="2" hidden="1">Utilidad!$W$78</definedName>
    <definedName name="solver_lhs52" localSheetId="2" hidden="1">Utilidad!$W$68</definedName>
    <definedName name="solver_lhs53" localSheetId="2" hidden="1">Utilidad!$R$71</definedName>
    <definedName name="solver_lhs54" localSheetId="2" hidden="1">Utilidad!$R$77</definedName>
    <definedName name="solver_lhs55" localSheetId="2" hidden="1">Utilidad!$W$70</definedName>
    <definedName name="solver_lhs56" localSheetId="2" hidden="1">Utilidad!$W$72</definedName>
    <definedName name="solver_lhs57" localSheetId="2" hidden="1">Utilidad!$W$71</definedName>
    <definedName name="solver_lhs58" localSheetId="2" hidden="1">Utilidad!$W$73</definedName>
    <definedName name="solver_lhs59" localSheetId="2" hidden="1">Utilidad!$W$69</definedName>
    <definedName name="solver_lhs6" localSheetId="2" hidden="1">Utilidad!$P$66</definedName>
    <definedName name="solver_lhs60" localSheetId="2" hidden="1">Utilidad!$P$116</definedName>
    <definedName name="solver_lhs61" localSheetId="2" hidden="1">Utilidad!$N$69</definedName>
    <definedName name="solver_lhs62" localSheetId="2" hidden="1">Utilidad!$P$70</definedName>
    <definedName name="solver_lhs63" localSheetId="2" hidden="1">Utilidad!$P$71</definedName>
    <definedName name="solver_lhs64" localSheetId="2" hidden="1">Utilidad!$P$72</definedName>
    <definedName name="solver_lhs65" localSheetId="2" hidden="1">Utilidad!$P$64</definedName>
    <definedName name="solver_lhs66" localSheetId="2" hidden="1">Utilidad!$R$115</definedName>
    <definedName name="solver_lhs67" localSheetId="2" hidden="1">Utilidad!$R$66</definedName>
    <definedName name="solver_lhs68" localSheetId="2" hidden="1">Utilidad!$R$67</definedName>
    <definedName name="solver_lhs69" localSheetId="2" hidden="1">Utilidad!$P$98</definedName>
    <definedName name="solver_lhs7" localSheetId="2" hidden="1">Utilidad!$P$72</definedName>
    <definedName name="solver_lhs70" localSheetId="2" hidden="1">Utilidad!$R$73</definedName>
    <definedName name="solver_lhs71" localSheetId="2" hidden="1">Utilidad!$P$89</definedName>
    <definedName name="solver_lhs72" localSheetId="2" hidden="1">Utilidad!$R$69</definedName>
    <definedName name="solver_lhs73" localSheetId="2" hidden="1">Utilidad!$P$95</definedName>
    <definedName name="solver_lhs74" localSheetId="2" hidden="1">Utilidad!$P$77</definedName>
    <definedName name="solver_lhs75" localSheetId="2" hidden="1">Utilidad!$P$86</definedName>
    <definedName name="solver_lhs76" localSheetId="2" hidden="1">Utilidad!$P$91</definedName>
    <definedName name="solver_lhs77" localSheetId="2" hidden="1">Utilidad!$P$87</definedName>
    <definedName name="solver_lhs78" localSheetId="2" hidden="1">Utilidad!$P$93</definedName>
    <definedName name="solver_lhs79" localSheetId="2" hidden="1">Utilidad!$P$84</definedName>
    <definedName name="solver_lhs8" localSheetId="2" hidden="1">Utilidad!$P$73</definedName>
    <definedName name="solver_lhs80" localSheetId="2" hidden="1">Utilidad!$P$75</definedName>
    <definedName name="solver_lhs81" localSheetId="2" hidden="1">Utilidad!$P$80</definedName>
    <definedName name="solver_lhs82" localSheetId="2" hidden="1">Utilidad!$P$83</definedName>
    <definedName name="solver_lhs83" localSheetId="2" hidden="1">Utilidad!$P$74</definedName>
    <definedName name="solver_lhs84" localSheetId="2" hidden="1">Utilidad!$P$67</definedName>
    <definedName name="solver_lhs85" localSheetId="2" hidden="1">Utilidad!$P$66</definedName>
    <definedName name="solver_lhs86" localSheetId="2" hidden="1">Utilidad!$P$68</definedName>
    <definedName name="solver_lhs87" localSheetId="2" hidden="1">Utilidad!$P$101</definedName>
    <definedName name="solver_lhs88" localSheetId="2" hidden="1">Utilidad!$P$72</definedName>
    <definedName name="solver_lhs89" localSheetId="2" hidden="1">Utilidad!$P$115</definedName>
    <definedName name="solver_lhs9" localSheetId="2" hidden="1">Utilidad!$P$77</definedName>
    <definedName name="solver_lhs90" localSheetId="2" hidden="1">Utilidad!$P$100</definedName>
    <definedName name="solver_lhs91" localSheetId="2" hidden="1">Utilidad!$P$63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40</definedName>
    <definedName name="solver_nwt" localSheetId="2" hidden="1">1</definedName>
    <definedName name="solver_opt" localSheetId="2" hidden="1">Utilidad!$V$81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10" localSheetId="2" hidden="1">1</definedName>
    <definedName name="solver_rel11" localSheetId="2" hidden="1">1</definedName>
    <definedName name="solver_rel12" localSheetId="2" hidden="1">1</definedName>
    <definedName name="solver_rel13" localSheetId="2" hidden="1">1</definedName>
    <definedName name="solver_rel14" localSheetId="2" hidden="1">1</definedName>
    <definedName name="solver_rel15" localSheetId="2" hidden="1">1</definedName>
    <definedName name="solver_rel16" localSheetId="2" hidden="1">1</definedName>
    <definedName name="solver_rel17" localSheetId="2" hidden="1">1</definedName>
    <definedName name="solver_rel18" localSheetId="2" hidden="1">1</definedName>
    <definedName name="solver_rel19" localSheetId="2" hidden="1">1</definedName>
    <definedName name="solver_rel2" localSheetId="2" hidden="1">1</definedName>
    <definedName name="solver_rel20" localSheetId="2" hidden="1">1</definedName>
    <definedName name="solver_rel21" localSheetId="2" hidden="1">1</definedName>
    <definedName name="solver_rel22" localSheetId="2" hidden="1">1</definedName>
    <definedName name="solver_rel23" localSheetId="2" hidden="1">1</definedName>
    <definedName name="solver_rel24" localSheetId="2" hidden="1">1</definedName>
    <definedName name="solver_rel25" localSheetId="2" hidden="1">1</definedName>
    <definedName name="solver_rel26" localSheetId="2" hidden="1">1</definedName>
    <definedName name="solver_rel27" localSheetId="2" hidden="1">1</definedName>
    <definedName name="solver_rel28" localSheetId="2" hidden="1">1</definedName>
    <definedName name="solver_rel29" localSheetId="2" hidden="1">1</definedName>
    <definedName name="solver_rel3" localSheetId="2" hidden="1">1</definedName>
    <definedName name="solver_rel30" localSheetId="2" hidden="1">1</definedName>
    <definedName name="solver_rel31" localSheetId="2" hidden="1">1</definedName>
    <definedName name="solver_rel32" localSheetId="2" hidden="1">1</definedName>
    <definedName name="solver_rel33" localSheetId="2" hidden="1">1</definedName>
    <definedName name="solver_rel34" localSheetId="2" hidden="1">1</definedName>
    <definedName name="solver_rel35" localSheetId="2" hidden="1">1</definedName>
    <definedName name="solver_rel36" localSheetId="2" hidden="1">1</definedName>
    <definedName name="solver_rel37" localSheetId="2" hidden="1">1</definedName>
    <definedName name="solver_rel38" localSheetId="2" hidden="1">1</definedName>
    <definedName name="solver_rel39" localSheetId="2" hidden="1">2</definedName>
    <definedName name="solver_rel4" localSheetId="2" hidden="1">1</definedName>
    <definedName name="solver_rel40" localSheetId="2" hidden="1">2</definedName>
    <definedName name="solver_rel41" localSheetId="2" hidden="1">2</definedName>
    <definedName name="solver_rel42" localSheetId="2" hidden="1">2</definedName>
    <definedName name="solver_rel43" localSheetId="2" hidden="1">2</definedName>
    <definedName name="solver_rel44" localSheetId="2" hidden="1">2</definedName>
    <definedName name="solver_rel45" localSheetId="2" hidden="1">2</definedName>
    <definedName name="solver_rel46" localSheetId="2" hidden="1">1</definedName>
    <definedName name="solver_rel47" localSheetId="2" hidden="1">2</definedName>
    <definedName name="solver_rel48" localSheetId="2" hidden="1">2</definedName>
    <definedName name="solver_rel49" localSheetId="2" hidden="1">2</definedName>
    <definedName name="solver_rel5" localSheetId="2" hidden="1">1</definedName>
    <definedName name="solver_rel50" localSheetId="2" hidden="1">2</definedName>
    <definedName name="solver_rel51" localSheetId="2" hidden="1">2</definedName>
    <definedName name="solver_rel52" localSheetId="2" hidden="1">2</definedName>
    <definedName name="solver_rel53" localSheetId="2" hidden="1">1</definedName>
    <definedName name="solver_rel54" localSheetId="2" hidden="1">1</definedName>
    <definedName name="solver_rel55" localSheetId="2" hidden="1">2</definedName>
    <definedName name="solver_rel56" localSheetId="2" hidden="1">2</definedName>
    <definedName name="solver_rel57" localSheetId="2" hidden="1">2</definedName>
    <definedName name="solver_rel58" localSheetId="2" hidden="1">2</definedName>
    <definedName name="solver_rel59" localSheetId="2" hidden="1">2</definedName>
    <definedName name="solver_rel6" localSheetId="2" hidden="1">1</definedName>
    <definedName name="solver_rel60" localSheetId="2" hidden="1">1</definedName>
    <definedName name="solver_rel61" localSheetId="2" hidden="1">2</definedName>
    <definedName name="solver_rel62" localSheetId="2" hidden="1">1</definedName>
    <definedName name="solver_rel63" localSheetId="2" hidden="1">1</definedName>
    <definedName name="solver_rel64" localSheetId="2" hidden="1">1</definedName>
    <definedName name="solver_rel65" localSheetId="2" hidden="1">1</definedName>
    <definedName name="solver_rel66" localSheetId="2" hidden="1">1</definedName>
    <definedName name="solver_rel67" localSheetId="2" hidden="1">1</definedName>
    <definedName name="solver_rel68" localSheetId="2" hidden="1">1</definedName>
    <definedName name="solver_rel69" localSheetId="2" hidden="1">1</definedName>
    <definedName name="solver_rel7" localSheetId="2" hidden="1">1</definedName>
    <definedName name="solver_rel70" localSheetId="2" hidden="1">1</definedName>
    <definedName name="solver_rel71" localSheetId="2" hidden="1">1</definedName>
    <definedName name="solver_rel72" localSheetId="2" hidden="1">1</definedName>
    <definedName name="solver_rel73" localSheetId="2" hidden="1">1</definedName>
    <definedName name="solver_rel74" localSheetId="2" hidden="1">1</definedName>
    <definedName name="solver_rel75" localSheetId="2" hidden="1">1</definedName>
    <definedName name="solver_rel76" localSheetId="2" hidden="1">1</definedName>
    <definedName name="solver_rel77" localSheetId="2" hidden="1">1</definedName>
    <definedName name="solver_rel78" localSheetId="2" hidden="1">1</definedName>
    <definedName name="solver_rel79" localSheetId="2" hidden="1">1</definedName>
    <definedName name="solver_rel8" localSheetId="2" hidden="1">1</definedName>
    <definedName name="solver_rel80" localSheetId="2" hidden="1">1</definedName>
    <definedName name="solver_rel81" localSheetId="2" hidden="1">1</definedName>
    <definedName name="solver_rel82" localSheetId="2" hidden="1">1</definedName>
    <definedName name="solver_rel83" localSheetId="2" hidden="1">1</definedName>
    <definedName name="solver_rel84" localSheetId="2" hidden="1">1</definedName>
    <definedName name="solver_rel85" localSheetId="2" hidden="1">1</definedName>
    <definedName name="solver_rel86" localSheetId="2" hidden="1">1</definedName>
    <definedName name="solver_rel87" localSheetId="2" hidden="1">1</definedName>
    <definedName name="solver_rel88" localSheetId="2" hidden="1">1</definedName>
    <definedName name="solver_rel89" localSheetId="2" hidden="1">1</definedName>
    <definedName name="solver_rel9" localSheetId="2" hidden="1">1</definedName>
    <definedName name="solver_rel90" localSheetId="2" hidden="1">1</definedName>
    <definedName name="solver_rel91" localSheetId="2" hidden="1">1</definedName>
    <definedName name="solver_rhs1" localSheetId="2" hidden="1">Utilidad!$Q$100</definedName>
    <definedName name="solver_rhs10" localSheetId="2" hidden="1">Utilidad!$Q$80</definedName>
    <definedName name="solver_rhs11" localSheetId="2" hidden="1">Utilidad!$Q$82</definedName>
    <definedName name="solver_rhs12" localSheetId="2" hidden="1">Utilidad!$Q$87</definedName>
    <definedName name="solver_rhs13" localSheetId="2" hidden="1">Utilidad!$Q$89</definedName>
    <definedName name="solver_rhs14" localSheetId="2" hidden="1">Utilidad!$Q$90</definedName>
    <definedName name="solver_rhs15" localSheetId="2" hidden="1">Utilidad!$Q$93</definedName>
    <definedName name="solver_rhs16" localSheetId="2" hidden="1">Utilidad!$Q$95</definedName>
    <definedName name="solver_rhs17" localSheetId="2" hidden="1">Utilidad!$Q$96</definedName>
    <definedName name="solver_rhs18" localSheetId="2" hidden="1">Utilidad!$Q$97</definedName>
    <definedName name="solver_rhs19" localSheetId="2" hidden="1">Utilidad!$Q$98</definedName>
    <definedName name="solver_rhs2" localSheetId="2" hidden="1">Utilidad!$Q$101</definedName>
    <definedName name="solver_rhs20" localSheetId="2" hidden="1">Utilidad!$S$100</definedName>
    <definedName name="solver_rhs21" localSheetId="2" hidden="1">Utilidad!$S$115</definedName>
    <definedName name="solver_rhs22" localSheetId="2" hidden="1">Utilidad!$S$116</definedName>
    <definedName name="solver_rhs23" localSheetId="2" hidden="1">Utilidad!$S$62</definedName>
    <definedName name="solver_rhs24" localSheetId="2" hidden="1">Utilidad!$S$68</definedName>
    <definedName name="solver_rhs25" localSheetId="2" hidden="1">Utilidad!$S$70</definedName>
    <definedName name="solver_rhs26" localSheetId="2" hidden="1">Utilidad!$S$72</definedName>
    <definedName name="solver_rhs27" localSheetId="2" hidden="1">Utilidad!$S$73</definedName>
    <definedName name="solver_rhs28" localSheetId="2" hidden="1">Utilidad!$S$74</definedName>
    <definedName name="solver_rhs29" localSheetId="2" hidden="1">Utilidad!$S$76</definedName>
    <definedName name="solver_rhs3" localSheetId="2" hidden="1">Utilidad!$Q$115</definedName>
    <definedName name="solver_rhs30" localSheetId="2" hidden="1">Utilidad!$S$81</definedName>
    <definedName name="solver_rhs31" localSheetId="2" hidden="1">Utilidad!$S$84</definedName>
    <definedName name="solver_rhs32" localSheetId="2" hidden="1">Utilidad!$S$86</definedName>
    <definedName name="solver_rhs33" localSheetId="2" hidden="1">Utilidad!$S$87</definedName>
    <definedName name="solver_rhs34" localSheetId="2" hidden="1">Utilidad!$S$93</definedName>
    <definedName name="solver_rhs35" localSheetId="2" hidden="1">Utilidad!$S$95</definedName>
    <definedName name="solver_rhs36" localSheetId="2" hidden="1">Utilidad!$S$96</definedName>
    <definedName name="solver_rhs37" localSheetId="2" hidden="1">Utilidad!$S$97</definedName>
    <definedName name="solver_rhs38" localSheetId="2" hidden="1">Utilidad!$S$98</definedName>
    <definedName name="solver_rhs39" localSheetId="2" hidden="1">Utilidad!$X$61:$X$78</definedName>
    <definedName name="solver_rhs4" localSheetId="2" hidden="1">Utilidad!$Q$116</definedName>
    <definedName name="solver_rhs40" localSheetId="2" hidden="1">Utilidad!$X$61:$X$78</definedName>
    <definedName name="solver_rhs41" localSheetId="2" hidden="1">0</definedName>
    <definedName name="solver_rhs42" localSheetId="2" hidden="1">0</definedName>
    <definedName name="solver_rhs43" localSheetId="2" hidden="1">0</definedName>
    <definedName name="solver_rhs44" localSheetId="2" hidden="1">0</definedName>
    <definedName name="solver_rhs45" localSheetId="2" hidden="1">0</definedName>
    <definedName name="solver_rhs46" localSheetId="2" hidden="1">Utilidad!$S$75</definedName>
    <definedName name="solver_rhs47" localSheetId="2" hidden="1">0</definedName>
    <definedName name="solver_rhs48" localSheetId="2" hidden="1">0</definedName>
    <definedName name="solver_rhs49" localSheetId="2" hidden="1">0</definedName>
    <definedName name="solver_rhs5" localSheetId="2" hidden="1">Utilidad!$Q$63</definedName>
    <definedName name="solver_rhs50" localSheetId="2" hidden="1">0</definedName>
    <definedName name="solver_rhs51" localSheetId="2" hidden="1">0</definedName>
    <definedName name="solver_rhs52" localSheetId="2" hidden="1">0</definedName>
    <definedName name="solver_rhs53" localSheetId="2" hidden="1">Utilidad!$S$71</definedName>
    <definedName name="solver_rhs54" localSheetId="2" hidden="1">Utilidad!$S$77</definedName>
    <definedName name="solver_rhs55" localSheetId="2" hidden="1">0</definedName>
    <definedName name="solver_rhs56" localSheetId="2" hidden="1">0</definedName>
    <definedName name="solver_rhs57" localSheetId="2" hidden="1">0</definedName>
    <definedName name="solver_rhs58" localSheetId="2" hidden="1">0</definedName>
    <definedName name="solver_rhs59" localSheetId="2" hidden="1">0</definedName>
    <definedName name="solver_rhs6" localSheetId="2" hidden="1">Utilidad!$Q$66</definedName>
    <definedName name="solver_rhs60" localSheetId="2" hidden="1">Utilidad!$Q$116</definedName>
    <definedName name="solver_rhs61" localSheetId="2" hidden="1">Utilidad!$K$69</definedName>
    <definedName name="solver_rhs62" localSheetId="2" hidden="1">Utilidad!$Q$70</definedName>
    <definedName name="solver_rhs63" localSheetId="2" hidden="1">Utilidad!$Q$71</definedName>
    <definedName name="solver_rhs64" localSheetId="2" hidden="1">Utilidad!$Q$72</definedName>
    <definedName name="solver_rhs65" localSheetId="2" hidden="1">Utilidad!$Q$64</definedName>
    <definedName name="solver_rhs66" localSheetId="2" hidden="1">Utilidad!$S$115</definedName>
    <definedName name="solver_rhs67" localSheetId="2" hidden="1">Utilidad!$S$66</definedName>
    <definedName name="solver_rhs68" localSheetId="2" hidden="1">Utilidad!$S$67</definedName>
    <definedName name="solver_rhs69" localSheetId="2" hidden="1">Utilidad!$Q$98</definedName>
    <definedName name="solver_rhs7" localSheetId="2" hidden="1">Utilidad!$Q$72</definedName>
    <definedName name="solver_rhs70" localSheetId="2" hidden="1">Utilidad!$S$73</definedName>
    <definedName name="solver_rhs71" localSheetId="2" hidden="1">Utilidad!$Q$89</definedName>
    <definedName name="solver_rhs72" localSheetId="2" hidden="1">Utilidad!$S$69</definedName>
    <definedName name="solver_rhs73" localSheetId="2" hidden="1">Utilidad!$Q$95</definedName>
    <definedName name="solver_rhs74" localSheetId="2" hidden="1">Utilidad!$Q$77</definedName>
    <definedName name="solver_rhs75" localSheetId="2" hidden="1">Utilidad!$Q$86</definedName>
    <definedName name="solver_rhs76" localSheetId="2" hidden="1">Utilidad!$Q$91</definedName>
    <definedName name="solver_rhs77" localSheetId="2" hidden="1">Utilidad!$Q$87</definedName>
    <definedName name="solver_rhs78" localSheetId="2" hidden="1">Utilidad!$Q$93</definedName>
    <definedName name="solver_rhs79" localSheetId="2" hidden="1">Utilidad!$Q$84</definedName>
    <definedName name="solver_rhs8" localSheetId="2" hidden="1">Utilidad!$Q$73</definedName>
    <definedName name="solver_rhs80" localSheetId="2" hidden="1">Utilidad!$Q$75</definedName>
    <definedName name="solver_rhs81" localSheetId="2" hidden="1">Utilidad!$Q$80</definedName>
    <definedName name="solver_rhs82" localSheetId="2" hidden="1">Utilidad!$Q$83</definedName>
    <definedName name="solver_rhs83" localSheetId="2" hidden="1">Utilidad!$Q$74</definedName>
    <definedName name="solver_rhs84" localSheetId="2" hidden="1">Utilidad!$Q$67</definedName>
    <definedName name="solver_rhs85" localSheetId="2" hidden="1">Utilidad!$Q$66</definedName>
    <definedName name="solver_rhs86" localSheetId="2" hidden="1">Utilidad!$Q$68</definedName>
    <definedName name="solver_rhs87" localSheetId="2" hidden="1">Utilidad!$Q$101</definedName>
    <definedName name="solver_rhs88" localSheetId="2" hidden="1">Utilidad!$Q$72</definedName>
    <definedName name="solver_rhs89" localSheetId="2" hidden="1">Utilidad!$Q$115</definedName>
    <definedName name="solver_rhs9" localSheetId="2" hidden="1">Utilidad!$Q$77</definedName>
    <definedName name="solver_rhs90" localSheetId="2" hidden="1">Utilidad!$Q$100</definedName>
    <definedName name="solver_rhs91" localSheetId="2" hidden="1">Utilidad!$Q$63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1</definedName>
    <definedName name="solver_typ" localSheetId="2" hidden="1">2</definedName>
    <definedName name="solver_val" localSheetId="2" hidden="1">0</definedName>
    <definedName name="solver_ver" localSheetId="2" hidden="1">3</definedName>
    <definedName name="vector1">Utilidad!$AK$102:$AK$106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5" i="2" l="1"/>
  <c r="J40" i="1"/>
  <c r="J39" i="1"/>
  <c r="J38" i="1"/>
  <c r="P138" i="6"/>
  <c r="I132" i="6"/>
  <c r="I112" i="6"/>
  <c r="F65" i="6" s="1"/>
  <c r="L109" i="6"/>
  <c r="I109" i="6"/>
  <c r="I106" i="6"/>
  <c r="I101" i="6"/>
  <c r="L97" i="6"/>
  <c r="L90" i="6"/>
  <c r="I110" i="6" s="1"/>
  <c r="K86" i="6"/>
  <c r="O85" i="6"/>
  <c r="Q80" i="6"/>
  <c r="O75" i="6"/>
  <c r="N75" i="6"/>
  <c r="L75" i="6"/>
  <c r="L76" i="6" s="1"/>
  <c r="I138" i="6" s="1"/>
  <c r="H71" i="6"/>
  <c r="O68" i="6"/>
  <c r="O64" i="6"/>
  <c r="C63" i="6"/>
  <c r="C64" i="6" s="1"/>
  <c r="I135" i="6" s="1"/>
  <c r="I54" i="6"/>
  <c r="C54" i="6"/>
  <c r="I103" i="6" s="1"/>
  <c r="C37" i="6"/>
  <c r="C35" i="6"/>
  <c r="I31" i="6"/>
  <c r="K30" i="6"/>
  <c r="O24" i="6"/>
  <c r="M22" i="6"/>
  <c r="L20" i="6"/>
  <c r="L16" i="6"/>
  <c r="L15" i="6"/>
  <c r="H15" i="6"/>
  <c r="I130" i="6" s="1"/>
  <c r="L14" i="6"/>
  <c r="H14" i="6"/>
  <c r="H13" i="6"/>
  <c r="I99" i="6" s="1"/>
  <c r="C13" i="6"/>
  <c r="Q12" i="6"/>
  <c r="E12" i="6"/>
  <c r="E11" i="6"/>
  <c r="E10" i="6"/>
  <c r="L9" i="6"/>
  <c r="I9" i="6"/>
  <c r="L8" i="6"/>
  <c r="I8" i="6"/>
  <c r="E8" i="6"/>
  <c r="I128" i="6" s="1"/>
  <c r="Q7" i="6"/>
  <c r="L7" i="6"/>
  <c r="I7" i="6"/>
  <c r="K72" i="5"/>
  <c r="H72" i="5"/>
  <c r="G72" i="5"/>
  <c r="D72" i="5"/>
  <c r="C72" i="5"/>
  <c r="J72" i="5" s="1"/>
  <c r="N71" i="5"/>
  <c r="M71" i="5"/>
  <c r="H71" i="5"/>
  <c r="G71" i="5"/>
  <c r="D71" i="5"/>
  <c r="K71" i="5" s="1"/>
  <c r="C71" i="5"/>
  <c r="J71" i="5" s="1"/>
  <c r="K70" i="5"/>
  <c r="H70" i="5"/>
  <c r="P18" i="6" s="1"/>
  <c r="G70" i="5"/>
  <c r="D70" i="5"/>
  <c r="C70" i="5"/>
  <c r="H69" i="5"/>
  <c r="G69" i="5"/>
  <c r="L141" i="6" s="1"/>
  <c r="J43" i="2" s="1"/>
  <c r="D69" i="5"/>
  <c r="K69" i="5" s="1"/>
  <c r="C69" i="5"/>
  <c r="J69" i="5" s="1"/>
  <c r="H68" i="5"/>
  <c r="G68" i="5"/>
  <c r="G25" i="2" s="1"/>
  <c r="H25" i="2" s="1"/>
  <c r="D68" i="5"/>
  <c r="K68" i="5" s="1"/>
  <c r="C68" i="5"/>
  <c r="J68" i="5" s="1"/>
  <c r="J67" i="5"/>
  <c r="H67" i="5"/>
  <c r="P27" i="2" s="1"/>
  <c r="G67" i="5"/>
  <c r="D67" i="5"/>
  <c r="C67" i="5"/>
  <c r="J66" i="5"/>
  <c r="M66" i="5" s="1"/>
  <c r="H66" i="5"/>
  <c r="AS42" i="1" s="1"/>
  <c r="G66" i="5"/>
  <c r="I116" i="6" s="1"/>
  <c r="D66" i="5"/>
  <c r="C66" i="5"/>
  <c r="H65" i="5"/>
  <c r="G65" i="5"/>
  <c r="AQ44" i="1" s="1"/>
  <c r="AO44" i="1" s="1"/>
  <c r="D65" i="5"/>
  <c r="K65" i="5" s="1"/>
  <c r="C65" i="5"/>
  <c r="J65" i="5" s="1"/>
  <c r="N65" i="5" s="1"/>
  <c r="K64" i="5"/>
  <c r="H64" i="5"/>
  <c r="G64" i="5"/>
  <c r="J64" i="5" s="1"/>
  <c r="D64" i="5"/>
  <c r="C64" i="5"/>
  <c r="H63" i="5"/>
  <c r="G63" i="5"/>
  <c r="D63" i="5"/>
  <c r="K63" i="5" s="1"/>
  <c r="C63" i="5"/>
  <c r="J63" i="5" s="1"/>
  <c r="H62" i="5"/>
  <c r="G62" i="5"/>
  <c r="D62" i="5"/>
  <c r="K62" i="5" s="1"/>
  <c r="C62" i="5"/>
  <c r="K61" i="5"/>
  <c r="H61" i="5"/>
  <c r="G61" i="5"/>
  <c r="D61" i="5"/>
  <c r="C61" i="5"/>
  <c r="K60" i="5"/>
  <c r="H60" i="5"/>
  <c r="AS41" i="1" s="1"/>
  <c r="G60" i="5"/>
  <c r="D60" i="5"/>
  <c r="C60" i="5"/>
  <c r="J60" i="5" s="1"/>
  <c r="N59" i="5"/>
  <c r="M59" i="5"/>
  <c r="H59" i="5"/>
  <c r="G59" i="5"/>
  <c r="I143" i="6" s="1"/>
  <c r="D59" i="5"/>
  <c r="K59" i="5" s="1"/>
  <c r="C59" i="5"/>
  <c r="J59" i="5" s="1"/>
  <c r="K58" i="5"/>
  <c r="H58" i="5"/>
  <c r="G58" i="5"/>
  <c r="Q79" i="6" s="1"/>
  <c r="P106" i="6" s="1"/>
  <c r="D58" i="5"/>
  <c r="C58" i="5"/>
  <c r="H57" i="5"/>
  <c r="K83" i="6" s="1"/>
  <c r="G57" i="5"/>
  <c r="AQ40" i="1" s="1"/>
  <c r="D57" i="5"/>
  <c r="K57" i="5" s="1"/>
  <c r="C57" i="5"/>
  <c r="J57" i="5" s="1"/>
  <c r="H56" i="5"/>
  <c r="G56" i="5"/>
  <c r="D56" i="5"/>
  <c r="K56" i="5" s="1"/>
  <c r="C56" i="5"/>
  <c r="J55" i="5"/>
  <c r="H55" i="5"/>
  <c r="K55" i="5" s="1"/>
  <c r="G55" i="5"/>
  <c r="D55" i="5"/>
  <c r="C55" i="5"/>
  <c r="C62" i="6" s="1"/>
  <c r="I104" i="6" s="1"/>
  <c r="K54" i="5"/>
  <c r="J54" i="5"/>
  <c r="N54" i="5" s="1"/>
  <c r="H54" i="5"/>
  <c r="G54" i="5"/>
  <c r="D54" i="5"/>
  <c r="C54" i="5"/>
  <c r="H53" i="5"/>
  <c r="G53" i="5"/>
  <c r="L105" i="6" s="1"/>
  <c r="D53" i="5"/>
  <c r="K53" i="5" s="1"/>
  <c r="C53" i="5"/>
  <c r="J53" i="5" s="1"/>
  <c r="N53" i="5" s="1"/>
  <c r="K52" i="5"/>
  <c r="H52" i="5"/>
  <c r="G52" i="5"/>
  <c r="J52" i="5" s="1"/>
  <c r="D52" i="5"/>
  <c r="C52" i="5"/>
  <c r="H51" i="5"/>
  <c r="G51" i="5"/>
  <c r="D51" i="5"/>
  <c r="K51" i="5" s="1"/>
  <c r="C51" i="5"/>
  <c r="J51" i="5" s="1"/>
  <c r="H50" i="5"/>
  <c r="G50" i="5"/>
  <c r="L135" i="6" s="1"/>
  <c r="D50" i="5"/>
  <c r="K50" i="5" s="1"/>
  <c r="C50" i="5"/>
  <c r="K49" i="5"/>
  <c r="H49" i="5"/>
  <c r="G49" i="5"/>
  <c r="J49" i="5" s="1"/>
  <c r="D49" i="5"/>
  <c r="C49" i="5"/>
  <c r="K48" i="5"/>
  <c r="H48" i="5"/>
  <c r="G48" i="5"/>
  <c r="D48" i="5"/>
  <c r="C48" i="5"/>
  <c r="J48" i="5" s="1"/>
  <c r="N47" i="5"/>
  <c r="M47" i="5"/>
  <c r="H47" i="5"/>
  <c r="G47" i="5"/>
  <c r="D47" i="5"/>
  <c r="K47" i="5" s="1"/>
  <c r="C47" i="5"/>
  <c r="J47" i="5" s="1"/>
  <c r="K46" i="5"/>
  <c r="H46" i="5"/>
  <c r="G46" i="5"/>
  <c r="J46" i="5" s="1"/>
  <c r="D46" i="5"/>
  <c r="C46" i="5"/>
  <c r="M45" i="5"/>
  <c r="H45" i="5"/>
  <c r="G45" i="5"/>
  <c r="D45" i="5"/>
  <c r="K45" i="5" s="1"/>
  <c r="C45" i="5"/>
  <c r="J45" i="5" s="1"/>
  <c r="N45" i="5" s="1"/>
  <c r="H44" i="5"/>
  <c r="G44" i="5"/>
  <c r="L133" i="6" s="1"/>
  <c r="D44" i="5"/>
  <c r="K44" i="5" s="1"/>
  <c r="C44" i="5"/>
  <c r="J44" i="5" s="1"/>
  <c r="K43" i="5"/>
  <c r="J43" i="5"/>
  <c r="N43" i="5" s="1"/>
  <c r="H43" i="5"/>
  <c r="G43" i="5"/>
  <c r="D43" i="5"/>
  <c r="C43" i="5"/>
  <c r="K42" i="5"/>
  <c r="J42" i="5"/>
  <c r="N42" i="5" s="1"/>
  <c r="H42" i="5"/>
  <c r="G42" i="5"/>
  <c r="L106" i="6" s="1"/>
  <c r="D42" i="5"/>
  <c r="C42" i="5"/>
  <c r="H41" i="5"/>
  <c r="G41" i="5"/>
  <c r="D41" i="5"/>
  <c r="K41" i="5" s="1"/>
  <c r="C41" i="5"/>
  <c r="J41" i="5" s="1"/>
  <c r="N41" i="5" s="1"/>
  <c r="K40" i="5"/>
  <c r="H40" i="5"/>
  <c r="G40" i="5"/>
  <c r="J40" i="5" s="1"/>
  <c r="D40" i="5"/>
  <c r="C40" i="5"/>
  <c r="H39" i="5"/>
  <c r="G39" i="5"/>
  <c r="I42" i="2" s="1"/>
  <c r="D39" i="5"/>
  <c r="K39" i="5" s="1"/>
  <c r="C39" i="5"/>
  <c r="J39" i="5" s="1"/>
  <c r="H38" i="5"/>
  <c r="G38" i="5"/>
  <c r="N30" i="2" s="1"/>
  <c r="O30" i="2" s="1"/>
  <c r="D38" i="5"/>
  <c r="K38" i="5" s="1"/>
  <c r="C38" i="5"/>
  <c r="K37" i="5"/>
  <c r="H37" i="5"/>
  <c r="P29" i="2" s="1"/>
  <c r="G37" i="5"/>
  <c r="J37" i="5" s="1"/>
  <c r="D37" i="5"/>
  <c r="C37" i="5"/>
  <c r="K36" i="5"/>
  <c r="H36" i="5"/>
  <c r="G36" i="5"/>
  <c r="D36" i="5"/>
  <c r="C36" i="5"/>
  <c r="J36" i="5" s="1"/>
  <c r="N35" i="5"/>
  <c r="M35" i="5"/>
  <c r="H35" i="5"/>
  <c r="G35" i="5"/>
  <c r="L74" i="6" s="1"/>
  <c r="I107" i="6" s="1"/>
  <c r="D35" i="5"/>
  <c r="K35" i="5" s="1"/>
  <c r="C35" i="5"/>
  <c r="J35" i="5" s="1"/>
  <c r="K34" i="5"/>
  <c r="H34" i="5"/>
  <c r="G34" i="5"/>
  <c r="L108" i="6" s="1"/>
  <c r="D34" i="5"/>
  <c r="C34" i="5"/>
  <c r="M33" i="5"/>
  <c r="H33" i="5"/>
  <c r="I22" i="2" s="1"/>
  <c r="G33" i="5"/>
  <c r="D33" i="5"/>
  <c r="K33" i="5" s="1"/>
  <c r="C33" i="5"/>
  <c r="J33" i="5" s="1"/>
  <c r="N33" i="5" s="1"/>
  <c r="H32" i="5"/>
  <c r="G32" i="5"/>
  <c r="D32" i="5"/>
  <c r="K32" i="5" s="1"/>
  <c r="C32" i="5"/>
  <c r="J32" i="5" s="1"/>
  <c r="K31" i="5"/>
  <c r="J31" i="5"/>
  <c r="N31" i="5" s="1"/>
  <c r="H31" i="5"/>
  <c r="I15" i="2" s="1"/>
  <c r="G31" i="5"/>
  <c r="L132" i="6" s="1"/>
  <c r="J39" i="2" s="1"/>
  <c r="D31" i="5"/>
  <c r="C31" i="5"/>
  <c r="K30" i="5"/>
  <c r="J30" i="5"/>
  <c r="N30" i="5" s="1"/>
  <c r="H30" i="5"/>
  <c r="H76" i="6" s="1"/>
  <c r="H77" i="6" s="1"/>
  <c r="I137" i="6" s="1"/>
  <c r="G30" i="5"/>
  <c r="H75" i="6" s="1"/>
  <c r="D30" i="5"/>
  <c r="C30" i="5"/>
  <c r="H29" i="5"/>
  <c r="G29" i="5"/>
  <c r="H70" i="6" s="1"/>
  <c r="D29" i="5"/>
  <c r="K29" i="5" s="1"/>
  <c r="C29" i="5"/>
  <c r="J29" i="5" s="1"/>
  <c r="N29" i="5" s="1"/>
  <c r="K28" i="5"/>
  <c r="H28" i="5"/>
  <c r="G28" i="5"/>
  <c r="J28" i="5" s="1"/>
  <c r="D28" i="5"/>
  <c r="C28" i="5"/>
  <c r="H27" i="5"/>
  <c r="BK37" i="1" s="1"/>
  <c r="G27" i="5"/>
  <c r="O63" i="6" s="1"/>
  <c r="D27" i="5"/>
  <c r="K27" i="5" s="1"/>
  <c r="C27" i="5"/>
  <c r="J27" i="5" s="1"/>
  <c r="H26" i="5"/>
  <c r="G26" i="5"/>
  <c r="D26" i="5"/>
  <c r="K26" i="5" s="1"/>
  <c r="C26" i="5"/>
  <c r="H25" i="5"/>
  <c r="L66" i="6" s="1"/>
  <c r="G25" i="5"/>
  <c r="D25" i="5"/>
  <c r="C25" i="5"/>
  <c r="K24" i="5"/>
  <c r="H24" i="5"/>
  <c r="M59" i="6" s="1"/>
  <c r="G24" i="5"/>
  <c r="M58" i="6" s="1"/>
  <c r="D24" i="5"/>
  <c r="C24" i="5"/>
  <c r="J24" i="5" s="1"/>
  <c r="N23" i="5"/>
  <c r="M23" i="5"/>
  <c r="H23" i="5"/>
  <c r="G23" i="5"/>
  <c r="D23" i="5"/>
  <c r="K23" i="5" s="1"/>
  <c r="C23" i="5"/>
  <c r="J23" i="5" s="1"/>
  <c r="K22" i="5"/>
  <c r="H22" i="5"/>
  <c r="K71" i="6" s="1"/>
  <c r="G22" i="5"/>
  <c r="K70" i="6" s="1"/>
  <c r="D22" i="5"/>
  <c r="C22" i="5"/>
  <c r="H21" i="5"/>
  <c r="G21" i="5"/>
  <c r="L100" i="6" s="1"/>
  <c r="D21" i="5"/>
  <c r="K21" i="5" s="1"/>
  <c r="C21" i="5"/>
  <c r="J21" i="5" s="1"/>
  <c r="N21" i="5" s="1"/>
  <c r="H20" i="5"/>
  <c r="G20" i="5"/>
  <c r="N11" i="2" s="1"/>
  <c r="O11" i="2" s="1"/>
  <c r="D20" i="5"/>
  <c r="K20" i="5" s="1"/>
  <c r="C20" i="5"/>
  <c r="J20" i="5" s="1"/>
  <c r="J19" i="5"/>
  <c r="H19" i="5"/>
  <c r="K19" i="5" s="1"/>
  <c r="G19" i="5"/>
  <c r="D19" i="5"/>
  <c r="C19" i="5"/>
  <c r="J18" i="5"/>
  <c r="M18" i="5" s="1"/>
  <c r="H18" i="5"/>
  <c r="K18" i="5" s="1"/>
  <c r="G18" i="5"/>
  <c r="D18" i="5"/>
  <c r="C18" i="5"/>
  <c r="H17" i="5"/>
  <c r="G17" i="5"/>
  <c r="I37" i="2" s="1"/>
  <c r="D17" i="5"/>
  <c r="K17" i="5" s="1"/>
  <c r="C17" i="5"/>
  <c r="J17" i="5" s="1"/>
  <c r="N17" i="5" s="1"/>
  <c r="M16" i="5"/>
  <c r="K16" i="5"/>
  <c r="N16" i="5" s="1"/>
  <c r="J16" i="5"/>
  <c r="H16" i="5"/>
  <c r="G16" i="5"/>
  <c r="D16" i="5"/>
  <c r="C16" i="5"/>
  <c r="H15" i="5"/>
  <c r="K15" i="5" s="1"/>
  <c r="G15" i="5"/>
  <c r="D15" i="5"/>
  <c r="C15" i="5"/>
  <c r="H14" i="5"/>
  <c r="G14" i="5"/>
  <c r="I16" i="5" s="1"/>
  <c r="D14" i="5"/>
  <c r="C14" i="5"/>
  <c r="J13" i="5"/>
  <c r="M13" i="5" s="1"/>
  <c r="H13" i="5"/>
  <c r="G13" i="5"/>
  <c r="D13" i="5"/>
  <c r="C13" i="5"/>
  <c r="H12" i="5"/>
  <c r="Q8" i="6" s="1"/>
  <c r="G12" i="5"/>
  <c r="Q10" i="5" s="1"/>
  <c r="D12" i="5"/>
  <c r="K12" i="5" s="1"/>
  <c r="C12" i="5"/>
  <c r="J12" i="5" s="1"/>
  <c r="N11" i="5"/>
  <c r="H11" i="5"/>
  <c r="G11" i="5"/>
  <c r="D11" i="5"/>
  <c r="K11" i="5" s="1"/>
  <c r="C11" i="5"/>
  <c r="J11" i="5" s="1"/>
  <c r="M11" i="5" s="1"/>
  <c r="K10" i="5"/>
  <c r="J10" i="5"/>
  <c r="N10" i="5" s="1"/>
  <c r="H10" i="5"/>
  <c r="G10" i="5"/>
  <c r="D10" i="5"/>
  <c r="C10" i="5"/>
  <c r="M9" i="5"/>
  <c r="J9" i="5"/>
  <c r="N9" i="5" s="1"/>
  <c r="H9" i="5"/>
  <c r="G9" i="5"/>
  <c r="I36" i="2" s="1"/>
  <c r="D9" i="5"/>
  <c r="K9" i="5" s="1"/>
  <c r="C9" i="5"/>
  <c r="K8" i="5"/>
  <c r="J8" i="5"/>
  <c r="H8" i="5"/>
  <c r="G8" i="5"/>
  <c r="D8" i="5"/>
  <c r="C8" i="5"/>
  <c r="H7" i="5"/>
  <c r="G7" i="5"/>
  <c r="D7" i="5"/>
  <c r="K7" i="5" s="1"/>
  <c r="C7" i="5"/>
  <c r="J7" i="5" s="1"/>
  <c r="H6" i="5"/>
  <c r="P13" i="2" s="1"/>
  <c r="G6" i="5"/>
  <c r="N13" i="2" s="1"/>
  <c r="D6" i="5"/>
  <c r="K6" i="5" s="1"/>
  <c r="C6" i="5"/>
  <c r="H5" i="5"/>
  <c r="I12" i="2" s="1"/>
  <c r="G5" i="5"/>
  <c r="J5" i="5" s="1"/>
  <c r="D5" i="5"/>
  <c r="K5" i="5" s="1"/>
  <c r="C5" i="5"/>
  <c r="M4" i="5"/>
  <c r="K4" i="5"/>
  <c r="H4" i="5"/>
  <c r="E7" i="6" s="1"/>
  <c r="G4" i="5"/>
  <c r="E6" i="6" s="1"/>
  <c r="I97" i="6" s="1"/>
  <c r="D4" i="5"/>
  <c r="C4" i="5"/>
  <c r="J4" i="5" s="1"/>
  <c r="N4" i="5" s="1"/>
  <c r="K116" i="3"/>
  <c r="J116" i="3"/>
  <c r="L116" i="3" s="1"/>
  <c r="L115" i="3"/>
  <c r="K115" i="3"/>
  <c r="J115" i="3"/>
  <c r="L114" i="3"/>
  <c r="K114" i="3"/>
  <c r="J114" i="3"/>
  <c r="K113" i="3"/>
  <c r="J113" i="3"/>
  <c r="K112" i="3"/>
  <c r="C55" i="6" s="1"/>
  <c r="J112" i="3"/>
  <c r="L112" i="3" s="1"/>
  <c r="C56" i="6" s="1"/>
  <c r="I134" i="6" s="1"/>
  <c r="K111" i="3"/>
  <c r="J111" i="3"/>
  <c r="G44" i="6" s="1"/>
  <c r="L110" i="3"/>
  <c r="K110" i="3"/>
  <c r="J110" i="3"/>
  <c r="K109" i="3"/>
  <c r="C45" i="6" s="1"/>
  <c r="J109" i="3"/>
  <c r="L109" i="3" s="1"/>
  <c r="C46" i="6" s="1"/>
  <c r="I133" i="6" s="1"/>
  <c r="K108" i="3"/>
  <c r="G35" i="6" s="1"/>
  <c r="J108" i="3"/>
  <c r="L108" i="3" s="1"/>
  <c r="G36" i="6" s="1"/>
  <c r="K107" i="3"/>
  <c r="J107" i="3"/>
  <c r="L107" i="3" s="1"/>
  <c r="L106" i="3"/>
  <c r="K106" i="3"/>
  <c r="C36" i="6" s="1"/>
  <c r="J106" i="3"/>
  <c r="K105" i="3"/>
  <c r="G26" i="6" s="1"/>
  <c r="J105" i="3"/>
  <c r="L105" i="3" s="1"/>
  <c r="G27" i="6" s="1"/>
  <c r="L104" i="3"/>
  <c r="K104" i="3"/>
  <c r="J104" i="3"/>
  <c r="K103" i="3"/>
  <c r="C27" i="6" s="1"/>
  <c r="J103" i="3"/>
  <c r="L103" i="3" s="1"/>
  <c r="C28" i="6" s="1"/>
  <c r="I131" i="6" s="1"/>
  <c r="L102" i="3"/>
  <c r="K102" i="3"/>
  <c r="J102" i="3"/>
  <c r="K101" i="3"/>
  <c r="J101" i="3"/>
  <c r="L101" i="3" s="1"/>
  <c r="C14" i="6" s="1"/>
  <c r="I129" i="6" s="1"/>
  <c r="K100" i="3"/>
  <c r="L100" i="3" s="1"/>
  <c r="J100" i="3"/>
  <c r="K99" i="3"/>
  <c r="J99" i="3"/>
  <c r="L99" i="3" s="1"/>
  <c r="L98" i="3"/>
  <c r="K88" i="6" s="1"/>
  <c r="I140" i="6" s="1"/>
  <c r="K98" i="3"/>
  <c r="K87" i="6" s="1"/>
  <c r="J98" i="3"/>
  <c r="K97" i="3"/>
  <c r="L91" i="6" s="1"/>
  <c r="J97" i="3"/>
  <c r="L97" i="3" s="1"/>
  <c r="L92" i="6" s="1"/>
  <c r="I141" i="6" s="1"/>
  <c r="K96" i="3"/>
  <c r="J96" i="3"/>
  <c r="L96" i="3" s="1"/>
  <c r="K95" i="3"/>
  <c r="J95" i="3"/>
  <c r="L95" i="3" s="1"/>
  <c r="L94" i="3"/>
  <c r="K94" i="3"/>
  <c r="J94" i="3"/>
  <c r="K93" i="3"/>
  <c r="J93" i="3"/>
  <c r="K92" i="3"/>
  <c r="J92" i="3"/>
  <c r="L92" i="3" s="1"/>
  <c r="L91" i="3"/>
  <c r="K91" i="3"/>
  <c r="J91" i="3"/>
  <c r="L90" i="3"/>
  <c r="K90" i="3"/>
  <c r="J90" i="3"/>
  <c r="K89" i="3"/>
  <c r="J89" i="3"/>
  <c r="K88" i="3"/>
  <c r="J88" i="3"/>
  <c r="L88" i="3" s="1"/>
  <c r="K87" i="3"/>
  <c r="L87" i="3" s="1"/>
  <c r="J87" i="3"/>
  <c r="L86" i="3"/>
  <c r="K86" i="3"/>
  <c r="J86" i="3"/>
  <c r="K85" i="3"/>
  <c r="J85" i="3"/>
  <c r="L85" i="3" s="1"/>
  <c r="K84" i="3"/>
  <c r="J84" i="3"/>
  <c r="L84" i="3" s="1"/>
  <c r="K83" i="3"/>
  <c r="L54" i="6" s="1"/>
  <c r="J83" i="3"/>
  <c r="L53" i="6" s="1"/>
  <c r="L82" i="3"/>
  <c r="I55" i="6" s="1"/>
  <c r="K82" i="3"/>
  <c r="J82" i="3"/>
  <c r="I53" i="6" s="1"/>
  <c r="K81" i="3"/>
  <c r="J81" i="3"/>
  <c r="L81" i="3" s="1"/>
  <c r="L80" i="3"/>
  <c r="K80" i="3"/>
  <c r="J80" i="3"/>
  <c r="K79" i="3"/>
  <c r="J79" i="3"/>
  <c r="L79" i="3" s="1"/>
  <c r="L78" i="3"/>
  <c r="K78" i="3"/>
  <c r="K29" i="6" s="1"/>
  <c r="J78" i="3"/>
  <c r="K28" i="6" s="1"/>
  <c r="K77" i="3"/>
  <c r="J77" i="3"/>
  <c r="L77" i="3" s="1"/>
  <c r="K76" i="3"/>
  <c r="J76" i="3"/>
  <c r="K75" i="3"/>
  <c r="J75" i="3"/>
  <c r="L75" i="3" s="1"/>
  <c r="L74" i="3"/>
  <c r="M24" i="6" s="1"/>
  <c r="K74" i="3"/>
  <c r="M23" i="6" s="1"/>
  <c r="J74" i="3"/>
  <c r="K73" i="3"/>
  <c r="O23" i="6" s="1"/>
  <c r="J73" i="3"/>
  <c r="L73" i="3" s="1"/>
  <c r="K72" i="3"/>
  <c r="N14" i="6" s="1"/>
  <c r="J72" i="3"/>
  <c r="K71" i="3"/>
  <c r="J71" i="3"/>
  <c r="L71" i="3" s="1"/>
  <c r="Q13" i="6" s="1"/>
  <c r="P130" i="6" s="1"/>
  <c r="H43" i="2"/>
  <c r="G43" i="2"/>
  <c r="H42" i="2"/>
  <c r="G42" i="2"/>
  <c r="I41" i="2"/>
  <c r="H41" i="2"/>
  <c r="G41" i="2"/>
  <c r="H40" i="2"/>
  <c r="G40" i="2"/>
  <c r="I39" i="2"/>
  <c r="H39" i="2"/>
  <c r="G39" i="2"/>
  <c r="I38" i="2"/>
  <c r="H38" i="2"/>
  <c r="G38" i="2"/>
  <c r="H37" i="2"/>
  <c r="G37" i="2"/>
  <c r="H36" i="2"/>
  <c r="G36" i="2"/>
  <c r="Q30" i="2"/>
  <c r="P30" i="2"/>
  <c r="N29" i="2"/>
  <c r="O29" i="2" s="1"/>
  <c r="P28" i="2"/>
  <c r="N28" i="2"/>
  <c r="Q28" i="2" s="1"/>
  <c r="N26" i="2"/>
  <c r="O26" i="2" s="1"/>
  <c r="P25" i="2"/>
  <c r="I25" i="2"/>
  <c r="P24" i="2"/>
  <c r="Q24" i="2" s="1"/>
  <c r="O24" i="2"/>
  <c r="N24" i="2"/>
  <c r="I24" i="2"/>
  <c r="G24" i="2"/>
  <c r="H24" i="2" s="1"/>
  <c r="I23" i="2"/>
  <c r="G23" i="2"/>
  <c r="J23" i="2" s="1"/>
  <c r="P22" i="2"/>
  <c r="Q22" i="2" s="1"/>
  <c r="O22" i="2"/>
  <c r="N22" i="2"/>
  <c r="P21" i="2"/>
  <c r="P16" i="2"/>
  <c r="BN30" i="1" s="1"/>
  <c r="N16" i="2"/>
  <c r="BK30" i="1" s="1"/>
  <c r="BP30" i="1" s="1"/>
  <c r="N15" i="2"/>
  <c r="P14" i="2"/>
  <c r="BN28" i="1" s="1"/>
  <c r="I14" i="2"/>
  <c r="J14" i="2" s="1"/>
  <c r="G14" i="2"/>
  <c r="Q28" i="1" s="1"/>
  <c r="Q13" i="2"/>
  <c r="I13" i="2"/>
  <c r="G13" i="2"/>
  <c r="J13" i="2" s="1"/>
  <c r="Q11" i="2"/>
  <c r="P11" i="2"/>
  <c r="I11" i="2"/>
  <c r="H11" i="2"/>
  <c r="G11" i="2"/>
  <c r="BI53" i="1"/>
  <c r="BM53" i="1" s="1"/>
  <c r="BE53" i="1"/>
  <c r="BK14" i="1" s="1"/>
  <c r="BA53" i="1"/>
  <c r="AI53" i="1"/>
  <c r="AE53" i="1"/>
  <c r="N53" i="1"/>
  <c r="AN14" i="1" s="1"/>
  <c r="J53" i="1"/>
  <c r="BM52" i="1"/>
  <c r="AM52" i="1"/>
  <c r="AM53" i="1" s="1"/>
  <c r="AQ53" i="1" s="1"/>
  <c r="R52" i="1"/>
  <c r="V52" i="1" s="1"/>
  <c r="BM51" i="1"/>
  <c r="AQ51" i="1"/>
  <c r="AM51" i="1"/>
  <c r="R51" i="1"/>
  <c r="V51" i="1" s="1"/>
  <c r="AS44" i="1"/>
  <c r="AS43" i="1"/>
  <c r="AQ43" i="1"/>
  <c r="AO43" i="1" s="1"/>
  <c r="AQ42" i="1"/>
  <c r="AO42" i="1" s="1"/>
  <c r="BK41" i="1"/>
  <c r="BI41" i="1"/>
  <c r="BN41" i="1" s="1"/>
  <c r="BG41" i="1"/>
  <c r="AQ41" i="1"/>
  <c r="AO41" i="1" s="1"/>
  <c r="N41" i="1"/>
  <c r="BK40" i="1"/>
  <c r="BI40" i="1"/>
  <c r="BN40" i="1" s="1"/>
  <c r="BG40" i="1"/>
  <c r="AS40" i="1"/>
  <c r="AC40" i="1"/>
  <c r="AA40" i="1"/>
  <c r="BK39" i="1"/>
  <c r="BI39" i="1"/>
  <c r="BN39" i="1" s="1"/>
  <c r="BG39" i="1"/>
  <c r="AC39" i="1"/>
  <c r="AA39" i="1"/>
  <c r="BK38" i="1"/>
  <c r="BI38" i="1"/>
  <c r="BG38" i="1" s="1"/>
  <c r="AS38" i="1"/>
  <c r="AQ38" i="1"/>
  <c r="AU38" i="1" s="1"/>
  <c r="AO38" i="1"/>
  <c r="AC38" i="1"/>
  <c r="AA38" i="1"/>
  <c r="N38" i="1"/>
  <c r="L38" i="1"/>
  <c r="P38" i="1" s="1"/>
  <c r="AC37" i="1"/>
  <c r="AA37" i="1"/>
  <c r="N37" i="1"/>
  <c r="L37" i="1"/>
  <c r="J37" i="1" s="1"/>
  <c r="BK29" i="1"/>
  <c r="Z28" i="1"/>
  <c r="BN27" i="1"/>
  <c r="H26" i="1"/>
  <c r="Z24" i="1"/>
  <c r="H24" i="1"/>
  <c r="J15" i="1"/>
  <c r="AY14" i="1"/>
  <c r="N68" i="5" l="1"/>
  <c r="M68" i="5"/>
  <c r="AU44" i="1"/>
  <c r="N36" i="5"/>
  <c r="M36" i="5"/>
  <c r="N55" i="5"/>
  <c r="L72" i="3"/>
  <c r="N15" i="6" s="1"/>
  <c r="N13" i="6"/>
  <c r="N20" i="6" s="1"/>
  <c r="N7" i="5"/>
  <c r="J15" i="2"/>
  <c r="N51" i="5"/>
  <c r="M51" i="5"/>
  <c r="K18" i="6"/>
  <c r="J56" i="5"/>
  <c r="P15" i="2"/>
  <c r="K13" i="5"/>
  <c r="N39" i="5"/>
  <c r="M39" i="5"/>
  <c r="M21" i="5"/>
  <c r="H72" i="6"/>
  <c r="I136" i="6" s="1"/>
  <c r="I105" i="6"/>
  <c r="N69" i="5"/>
  <c r="M69" i="5"/>
  <c r="N44" i="5"/>
  <c r="M44" i="5"/>
  <c r="N12" i="5"/>
  <c r="M12" i="5"/>
  <c r="N58" i="6"/>
  <c r="P101" i="6"/>
  <c r="N32" i="5"/>
  <c r="M32" i="5"/>
  <c r="I145" i="6"/>
  <c r="I114" i="6"/>
  <c r="F67" i="6" s="1"/>
  <c r="J61" i="5"/>
  <c r="H28" i="1"/>
  <c r="H30" i="1" s="1"/>
  <c r="J11" i="2"/>
  <c r="N19" i="5"/>
  <c r="P102" i="6"/>
  <c r="O65" i="6"/>
  <c r="P133" i="6" s="1"/>
  <c r="N57" i="5"/>
  <c r="M64" i="5"/>
  <c r="N64" i="5"/>
  <c r="N72" i="5"/>
  <c r="M72" i="5"/>
  <c r="N48" i="5"/>
  <c r="M48" i="5"/>
  <c r="N20" i="5"/>
  <c r="M20" i="5"/>
  <c r="N40" i="1"/>
  <c r="L39" i="1"/>
  <c r="N39" i="1"/>
  <c r="L40" i="1"/>
  <c r="J15" i="5"/>
  <c r="N37" i="5"/>
  <c r="M37" i="5"/>
  <c r="M52" i="5"/>
  <c r="N52" i="5"/>
  <c r="AO40" i="1"/>
  <c r="AU40" i="1"/>
  <c r="N46" i="5"/>
  <c r="M46" i="5"/>
  <c r="N27" i="5"/>
  <c r="M27" i="5"/>
  <c r="W15" i="1"/>
  <c r="N49" i="5"/>
  <c r="M49" i="5"/>
  <c r="N40" i="5"/>
  <c r="M40" i="5"/>
  <c r="L22" i="6"/>
  <c r="L76" i="3"/>
  <c r="L23" i="6" s="1"/>
  <c r="N63" i="5"/>
  <c r="M63" i="5"/>
  <c r="N24" i="5"/>
  <c r="M24" i="5"/>
  <c r="N5" i="5"/>
  <c r="M5" i="5"/>
  <c r="Q29" i="2"/>
  <c r="Q25" i="2"/>
  <c r="G45" i="6"/>
  <c r="L111" i="3"/>
  <c r="G46" i="6" s="1"/>
  <c r="N8" i="5"/>
  <c r="M8" i="5"/>
  <c r="N21" i="2"/>
  <c r="Q21" i="2" s="1"/>
  <c r="AQ37" i="1"/>
  <c r="J25" i="5"/>
  <c r="L65" i="6"/>
  <c r="M28" i="5"/>
  <c r="N28" i="5"/>
  <c r="M57" i="5"/>
  <c r="N60" i="5"/>
  <c r="M60" i="5"/>
  <c r="K66" i="5"/>
  <c r="G16" i="6"/>
  <c r="L131" i="6"/>
  <c r="J38" i="2" s="1"/>
  <c r="L139" i="6"/>
  <c r="J41" i="2" s="1"/>
  <c r="R53" i="1"/>
  <c r="V53" i="1" s="1"/>
  <c r="AS37" i="1"/>
  <c r="K72" i="6"/>
  <c r="M30" i="5"/>
  <c r="M42" i="5"/>
  <c r="M54" i="5"/>
  <c r="I118" i="6"/>
  <c r="P17" i="6"/>
  <c r="P19" i="6" s="1"/>
  <c r="G25" i="6"/>
  <c r="G34" i="6"/>
  <c r="F38" i="6" s="1"/>
  <c r="L102" i="6"/>
  <c r="L140" i="6"/>
  <c r="J42" i="2" s="1"/>
  <c r="G12" i="2"/>
  <c r="J24" i="2"/>
  <c r="I44" i="2"/>
  <c r="O38" i="2" s="1"/>
  <c r="N13" i="5"/>
  <c r="C26" i="6"/>
  <c r="O67" i="6"/>
  <c r="P98" i="6"/>
  <c r="Q9" i="6"/>
  <c r="P129" i="6" s="1"/>
  <c r="K25" i="5"/>
  <c r="AI28" i="1"/>
  <c r="BN38" i="1"/>
  <c r="AU42" i="1"/>
  <c r="N14" i="2"/>
  <c r="P26" i="2"/>
  <c r="Q26" i="2" s="1"/>
  <c r="L113" i="3"/>
  <c r="M10" i="5"/>
  <c r="J14" i="5"/>
  <c r="L129" i="6"/>
  <c r="J37" i="2" s="1"/>
  <c r="L98" i="6"/>
  <c r="J22" i="5"/>
  <c r="J34" i="5"/>
  <c r="AQ39" i="1"/>
  <c r="N23" i="2"/>
  <c r="O23" i="2" s="1"/>
  <c r="L78" i="6"/>
  <c r="I108" i="6" s="1"/>
  <c r="J58" i="5"/>
  <c r="I144" i="6"/>
  <c r="J70" i="5"/>
  <c r="I150" i="6"/>
  <c r="K19" i="6"/>
  <c r="L104" i="6"/>
  <c r="I113" i="6"/>
  <c r="F66" i="6" s="1"/>
  <c r="M7" i="5"/>
  <c r="K14" i="5"/>
  <c r="M60" i="6"/>
  <c r="P132" i="6" s="1"/>
  <c r="J26" i="5"/>
  <c r="L101" i="6"/>
  <c r="G15" i="2"/>
  <c r="H15" i="2" s="1"/>
  <c r="P23" i="2"/>
  <c r="Q23" i="2" s="1"/>
  <c r="AS39" i="1"/>
  <c r="L79" i="6"/>
  <c r="L80" i="6" s="1"/>
  <c r="I139" i="6" s="1"/>
  <c r="J38" i="5"/>
  <c r="J50" i="5"/>
  <c r="J62" i="5"/>
  <c r="I117" i="6"/>
  <c r="N27" i="2"/>
  <c r="I119" i="6"/>
  <c r="I147" i="6"/>
  <c r="O13" i="2"/>
  <c r="M17" i="5"/>
  <c r="M29" i="5"/>
  <c r="M41" i="5"/>
  <c r="M53" i="5"/>
  <c r="M65" i="5"/>
  <c r="K39" i="6"/>
  <c r="Q81" i="6"/>
  <c r="P137" i="6" s="1"/>
  <c r="I148" i="6"/>
  <c r="Q14" i="2"/>
  <c r="K82" i="6"/>
  <c r="I149" i="6"/>
  <c r="Z26" i="1"/>
  <c r="Z30" i="1" s="1"/>
  <c r="AU43" i="1"/>
  <c r="J6" i="5"/>
  <c r="K67" i="5"/>
  <c r="N67" i="5" s="1"/>
  <c r="Q11" i="6"/>
  <c r="P99" i="6" s="1"/>
  <c r="G15" i="6"/>
  <c r="L67" i="6"/>
  <c r="N66" i="5"/>
  <c r="H14" i="2"/>
  <c r="Q16" i="2"/>
  <c r="Q26" i="1"/>
  <c r="Q30" i="1" s="1"/>
  <c r="L41" i="1"/>
  <c r="O74" i="6"/>
  <c r="G22" i="2"/>
  <c r="I146" i="6"/>
  <c r="I115" i="6"/>
  <c r="L110" i="6"/>
  <c r="I43" i="2"/>
  <c r="C44" i="6"/>
  <c r="H13" i="2"/>
  <c r="H23" i="2"/>
  <c r="O28" i="2"/>
  <c r="P37" i="1"/>
  <c r="J25" i="2"/>
  <c r="L93" i="3"/>
  <c r="Q9" i="5"/>
  <c r="M19" i="5"/>
  <c r="M31" i="5"/>
  <c r="M43" i="5"/>
  <c r="M55" i="5"/>
  <c r="M67" i="5"/>
  <c r="J14" i="6"/>
  <c r="C12" i="6"/>
  <c r="O84" i="6"/>
  <c r="N88" i="6" s="1"/>
  <c r="L136" i="6"/>
  <c r="N18" i="5"/>
  <c r="L83" i="3"/>
  <c r="L55" i="6" s="1"/>
  <c r="L138" i="6"/>
  <c r="J40" i="2" s="1"/>
  <c r="N67" i="6"/>
  <c r="L107" i="6"/>
  <c r="I40" i="2"/>
  <c r="AQ52" i="1"/>
  <c r="I21" i="2"/>
  <c r="Q15" i="1"/>
  <c r="BK27" i="1"/>
  <c r="BP27" i="1" s="1"/>
  <c r="AU41" i="1"/>
  <c r="N25" i="2"/>
  <c r="O25" i="2" s="1"/>
  <c r="L89" i="3"/>
  <c r="L137" i="6"/>
  <c r="L134" i="6"/>
  <c r="L103" i="6"/>
  <c r="O22" i="6"/>
  <c r="M29" i="6" s="1"/>
  <c r="I30" i="6"/>
  <c r="J75" i="6"/>
  <c r="H85" i="6"/>
  <c r="L128" i="6"/>
  <c r="M6" i="5" l="1"/>
  <c r="N6" i="5"/>
  <c r="H22" i="2"/>
  <c r="J22" i="2"/>
  <c r="N70" i="5"/>
  <c r="M70" i="5"/>
  <c r="M14" i="5"/>
  <c r="N14" i="5"/>
  <c r="N15" i="5"/>
  <c r="M15" i="5"/>
  <c r="N58" i="5"/>
  <c r="M58" i="5"/>
  <c r="BK28" i="1"/>
  <c r="BP28" i="1" s="1"/>
  <c r="O14" i="2"/>
  <c r="BH28" i="1" s="1"/>
  <c r="H12" i="2"/>
  <c r="H19" i="2" s="1"/>
  <c r="G19" i="2"/>
  <c r="M38" i="2" s="1"/>
  <c r="P40" i="1"/>
  <c r="P104" i="6"/>
  <c r="O76" i="6"/>
  <c r="P135" i="6" s="1"/>
  <c r="K84" i="6"/>
  <c r="I142" i="6" s="1"/>
  <c r="I151" i="6" s="1"/>
  <c r="I111" i="6"/>
  <c r="N19" i="2"/>
  <c r="N25" i="5"/>
  <c r="M25" i="5"/>
  <c r="D15" i="1"/>
  <c r="AO37" i="1"/>
  <c r="AD14" i="1" s="1"/>
  <c r="AU37" i="1"/>
  <c r="P39" i="1"/>
  <c r="AO39" i="1"/>
  <c r="AU39" i="1"/>
  <c r="AI26" i="1"/>
  <c r="N32" i="2"/>
  <c r="O21" i="2"/>
  <c r="BI37" i="1"/>
  <c r="G21" i="2"/>
  <c r="BN29" i="1"/>
  <c r="BP29" i="1" s="1"/>
  <c r="Q15" i="2"/>
  <c r="Q19" i="2" s="1"/>
  <c r="N39" i="2" s="1"/>
  <c r="F29" i="6"/>
  <c r="I100" i="6"/>
  <c r="P41" i="1"/>
  <c r="J41" i="1"/>
  <c r="O86" i="6"/>
  <c r="P136" i="6" s="1"/>
  <c r="P105" i="6"/>
  <c r="I98" i="6"/>
  <c r="E16" i="6"/>
  <c r="O27" i="2"/>
  <c r="Q27" i="2"/>
  <c r="Q32" i="2" s="1"/>
  <c r="N34" i="5"/>
  <c r="M34" i="5"/>
  <c r="J12" i="2"/>
  <c r="O29" i="6"/>
  <c r="O30" i="6" s="1"/>
  <c r="Q24" i="6"/>
  <c r="N38" i="5"/>
  <c r="M38" i="5"/>
  <c r="F48" i="6"/>
  <c r="I102" i="6"/>
  <c r="N22" i="5"/>
  <c r="M22" i="5"/>
  <c r="BH27" i="1"/>
  <c r="N26" i="5"/>
  <c r="M26" i="5"/>
  <c r="J21" i="2"/>
  <c r="J32" i="2" s="1"/>
  <c r="AR28" i="1"/>
  <c r="P97" i="6"/>
  <c r="G17" i="6"/>
  <c r="P128" i="6" s="1"/>
  <c r="Q27" i="6"/>
  <c r="N62" i="5"/>
  <c r="M62" i="5"/>
  <c r="L121" i="6"/>
  <c r="K20" i="6"/>
  <c r="J36" i="2"/>
  <c r="J44" i="2" s="1"/>
  <c r="O39" i="2" s="1"/>
  <c r="L151" i="6"/>
  <c r="Q24" i="1"/>
  <c r="J19" i="2"/>
  <c r="M39" i="2" s="1"/>
  <c r="N56" i="5"/>
  <c r="M56" i="5"/>
  <c r="P100" i="6"/>
  <c r="I32" i="6"/>
  <c r="P131" i="6" s="1"/>
  <c r="N50" i="5"/>
  <c r="M50" i="5"/>
  <c r="P103" i="6"/>
  <c r="O69" i="6"/>
  <c r="P134" i="6" s="1"/>
  <c r="N61" i="5"/>
  <c r="M61" i="5"/>
  <c r="AR30" i="1" l="1"/>
  <c r="AI30" i="1"/>
  <c r="P39" i="2"/>
  <c r="O19" i="2"/>
  <c r="N38" i="2"/>
  <c r="P38" i="2" s="1"/>
  <c r="H21" i="2"/>
  <c r="AR26" i="1"/>
  <c r="G32" i="2"/>
  <c r="O32" i="2"/>
  <c r="AI24" i="1"/>
  <c r="P151" i="6"/>
  <c r="P153" i="6" s="1"/>
  <c r="P121" i="6"/>
  <c r="BG37" i="1"/>
  <c r="BN37" i="1"/>
  <c r="I121" i="6"/>
  <c r="P123" i="6" s="1"/>
  <c r="H32" i="2" l="1"/>
  <c r="AR24" i="1"/>
</calcChain>
</file>

<file path=xl/sharedStrings.xml><?xml version="1.0" encoding="utf-8"?>
<sst xmlns="http://schemas.openxmlformats.org/spreadsheetml/2006/main" count="565" uniqueCount="250">
  <si>
    <t>FLUJO DE PROCESO</t>
  </si>
  <si>
    <t xml:space="preserve">PÉRDIDAS DEL PROCESO </t>
  </si>
  <si>
    <t>ALIMENTACIÓN MINA</t>
  </si>
  <si>
    <t>RECEPCIÓN TERCEROS</t>
  </si>
  <si>
    <t>PRODUCCIÓN PELLET FEED</t>
  </si>
  <si>
    <t>TRANSPORTE FERROVIARIO</t>
  </si>
  <si>
    <t>EMBARQUE PELLET FEED</t>
  </si>
  <si>
    <t>Tonelaje Húmedo</t>
  </si>
  <si>
    <t>(tmh)</t>
  </si>
  <si>
    <t>Tonelaje Seco</t>
  </si>
  <si>
    <t>(tms)</t>
  </si>
  <si>
    <t>ORIGEN</t>
  </si>
  <si>
    <t>TMH</t>
  </si>
  <si>
    <t>TMS</t>
  </si>
  <si>
    <t>Ley FeT</t>
  </si>
  <si>
    <t>TMF</t>
  </si>
  <si>
    <t>Rechazos a botadero Chancado</t>
  </si>
  <si>
    <t>(%)</t>
  </si>
  <si>
    <t>Rechazos a botadero Concentradora</t>
  </si>
  <si>
    <t>Relaves Concentradora</t>
  </si>
  <si>
    <t>-</t>
  </si>
  <si>
    <t>Finos</t>
  </si>
  <si>
    <t>(tmf)</t>
  </si>
  <si>
    <t>Relaves Molienda</t>
  </si>
  <si>
    <t>PLANTA ROMERAL</t>
  </si>
  <si>
    <t>PUERTO GUAYACÁN</t>
  </si>
  <si>
    <t>OTROS FLUJOS</t>
  </si>
  <si>
    <t>INVENTARIOS</t>
  </si>
  <si>
    <t>ENTRADAS</t>
  </si>
  <si>
    <t>SALIDAS</t>
  </si>
  <si>
    <t>%FeT</t>
  </si>
  <si>
    <t>Producción Chancado</t>
  </si>
  <si>
    <t>Stock Intermedio</t>
  </si>
  <si>
    <t>Pellet Feed Acopiado (Trenes)</t>
  </si>
  <si>
    <t>Pellet Feed</t>
  </si>
  <si>
    <t>Alimentación  Concentradora</t>
  </si>
  <si>
    <t>Stock Preconcentrado</t>
  </si>
  <si>
    <t>Sinter Feed MLC (camiones)</t>
  </si>
  <si>
    <t xml:space="preserve">Sinter </t>
  </si>
  <si>
    <t>Producción Concentradora</t>
  </si>
  <si>
    <t>Stock Pellet Feed</t>
  </si>
  <si>
    <t>Sinter Feed Pleito (camiones)</t>
  </si>
  <si>
    <t>Granzas</t>
  </si>
  <si>
    <t>Alimentación molienda</t>
  </si>
  <si>
    <t>Stock Sinter Feed Patio Tolva</t>
  </si>
  <si>
    <t>Sinter Feed APC  (camiones)</t>
  </si>
  <si>
    <t>Pellet Feed camiones locales</t>
  </si>
  <si>
    <t xml:space="preserve">Producción Pellet Feed </t>
  </si>
  <si>
    <t>Sinter Feed Caro (camiones)</t>
  </si>
  <si>
    <t>Preconcentrado Ventas</t>
  </si>
  <si>
    <t>Sinter SERCOOP (camiones)</t>
  </si>
  <si>
    <t>Sinter Tofo (camiones)</t>
  </si>
  <si>
    <t>Preconcentrado Ventas (Trenes)</t>
  </si>
  <si>
    <t>EMBARQUES DEL MES</t>
  </si>
  <si>
    <t>PELLET FEED</t>
  </si>
  <si>
    <t>SINTER FEED</t>
  </si>
  <si>
    <t>PRECONCENTRADO VENTAS</t>
  </si>
  <si>
    <t>MOTONAVE</t>
  </si>
  <si>
    <t>PESÓMETRO</t>
  </si>
  <si>
    <t>CALADO</t>
  </si>
  <si>
    <t>DIFERENCIA</t>
  </si>
  <si>
    <t>%</t>
  </si>
  <si>
    <t>True Nautilus</t>
  </si>
  <si>
    <t>TOTAL</t>
  </si>
  <si>
    <t>BALANCE METALÚRGICO - VALLE ELQUI</t>
  </si>
  <si>
    <t>REPORTE MINAS EL ROMERAL</t>
  </si>
  <si>
    <t>FECHA DE BALANCE</t>
  </si>
  <si>
    <t>TONELAJE</t>
  </si>
  <si>
    <t>LEY</t>
  </si>
  <si>
    <t>FINO</t>
  </si>
  <si>
    <t>% FeT</t>
  </si>
  <si>
    <t>PRODUCCIÓN PRIMARIA</t>
  </si>
  <si>
    <t>FL_218_501_01</t>
  </si>
  <si>
    <t>Alimentación Chancado Mina</t>
  </si>
  <si>
    <t>Pellet Feed Producción Primaria</t>
  </si>
  <si>
    <t>Recepción Mediana Ley Pleito</t>
  </si>
  <si>
    <t xml:space="preserve">PÉRDIDAS </t>
  </si>
  <si>
    <t>Materiales a Stock Intermedio</t>
  </si>
  <si>
    <t>Rechazos a botadero Pta. Chancado</t>
  </si>
  <si>
    <t>Materiales a Stock Preconcentrado</t>
  </si>
  <si>
    <t>Rechazos a botadero Pta. Concentradora</t>
  </si>
  <si>
    <t>Sinter Feed a Patio Tolva</t>
  </si>
  <si>
    <t>Colas Pta. Concentradora</t>
  </si>
  <si>
    <t>Colas Pta. Molienda</t>
  </si>
  <si>
    <t>FL_000_501_03</t>
  </si>
  <si>
    <t>EMBARQUES - VENTAS LOCALES</t>
  </si>
  <si>
    <t>PRODUCCIÓN PUESTA EN PUERTO</t>
  </si>
  <si>
    <t>Granzas Pleito</t>
  </si>
  <si>
    <t>Granzas Cristales</t>
  </si>
  <si>
    <t>Delta inventario TMS</t>
  </si>
  <si>
    <t>Delta inventario TMFe</t>
  </si>
  <si>
    <t>DELTA INVENTARIO</t>
  </si>
  <si>
    <t>BALANCE</t>
  </si>
  <si>
    <t>Stock Pellet Feed Guayacán</t>
  </si>
  <si>
    <t>Stock Sinter Guayacán</t>
  </si>
  <si>
    <t>Stock Granza Guayacán</t>
  </si>
  <si>
    <t>Stock Preconcentrado Ventas</t>
  </si>
  <si>
    <t>Cola Concentradora (canoa)</t>
  </si>
  <si>
    <t>Concentradora a Stock Preconcentrado</t>
  </si>
  <si>
    <t>SF a molienda</t>
  </si>
  <si>
    <t>Repulpeo</t>
  </si>
  <si>
    <t>Delta Stock Preconcentrado</t>
  </si>
  <si>
    <t>Alimentación Preconcentrado a Molienda</t>
  </si>
  <si>
    <t>Cola de Molienda</t>
  </si>
  <si>
    <t>Concentrado a Almacenamiento</t>
  </si>
  <si>
    <t>Delta Almacenamiento de Concentrado</t>
  </si>
  <si>
    <t>Concentrado a Stock Pellet Feed ROM</t>
  </si>
  <si>
    <t>Delta Stock Pellet Feed ROM</t>
  </si>
  <si>
    <t>Transporte Pellet Feed en camiones a Guayacan</t>
  </si>
  <si>
    <t>Transporte Pellet Feed en Trenes a Guayacan</t>
  </si>
  <si>
    <t>Pérdidas Pellet Feed por Transporte</t>
  </si>
  <si>
    <t>Recepción total en Stock Pellet Feed Guayacan</t>
  </si>
  <si>
    <t>Delta Stock Pellet Feed Guayacan</t>
  </si>
  <si>
    <t>Embarque Pellet Feed Guayacan</t>
  </si>
  <si>
    <t>Transporte Camiones PF Guayacan</t>
  </si>
  <si>
    <t>Recepción SFMLC</t>
  </si>
  <si>
    <t>Recepción P55 desde MLC</t>
  </si>
  <si>
    <t>Delta Stock SF Patio Tolva ROM</t>
  </si>
  <si>
    <t>Transporte SF desde Tolva ROM a Guayacan</t>
  </si>
  <si>
    <t>Embarque SF</t>
  </si>
  <si>
    <t>Delta Stock Finos Guayacan</t>
  </si>
  <si>
    <t>Recepción SF directo desde MLC</t>
  </si>
  <si>
    <t>Recepción Finos Pleito</t>
  </si>
  <si>
    <t xml:space="preserve">Recepción Granzas Pleito </t>
  </si>
  <si>
    <t>Recepción Planta los Cristales</t>
  </si>
  <si>
    <t>Delta Stock Granzas Guayacan</t>
  </si>
  <si>
    <t xml:space="preserve">Embarque Granzas </t>
  </si>
  <si>
    <t>ML Pleito</t>
  </si>
  <si>
    <t>Delta Stock ML Pleito</t>
  </si>
  <si>
    <t>Finos Pleito A S Emergencia 1</t>
  </si>
  <si>
    <t>Delta Stock Emergencia 1</t>
  </si>
  <si>
    <t>Alim Finos Pleito a Preconcentrado</t>
  </si>
  <si>
    <t>P55 a S Emergencia 2</t>
  </si>
  <si>
    <t>Delta Stock Emergencia 2</t>
  </si>
  <si>
    <t>P55 a de S Emergencia 2 a Preconcentrado</t>
  </si>
  <si>
    <t>P40 a S Emergencia 3</t>
  </si>
  <si>
    <t>Delta Stock Emergencia 3</t>
  </si>
  <si>
    <t>P40  de S Emergencia 3 a Preconcentrado</t>
  </si>
  <si>
    <t>Sinter MLC aS Emergencia 4</t>
  </si>
  <si>
    <t>Delta Stock Emergencia 4</t>
  </si>
  <si>
    <t>Sinter MLC dese S Emergencia 4 a Preconcentrado</t>
  </si>
  <si>
    <t>Otro Materiales a Preconcentrado</t>
  </si>
  <si>
    <t>De  nodo Alim Otros Materiales  + Emergencia a S Preconcentrado</t>
  </si>
  <si>
    <t>Stock Pellet Feed Guayacan</t>
  </si>
  <si>
    <t>Stock Sinter Guayacan</t>
  </si>
  <si>
    <t>Stock Granza Guayacan</t>
  </si>
  <si>
    <t>Pellet Feed Produccion Primaria</t>
  </si>
  <si>
    <t>Sinter Feed MLC camiones</t>
  </si>
  <si>
    <t>Sinter Feed Pleito camiones</t>
  </si>
  <si>
    <t>Sinter Feed Infiernillo camiones</t>
  </si>
  <si>
    <t>Alimentacion Chancado Mina</t>
  </si>
  <si>
    <t>Recepcion Mediana Ley Pleito</t>
  </si>
  <si>
    <t>Embarque Pellet Feed</t>
  </si>
  <si>
    <t>Embarque Sinter</t>
  </si>
  <si>
    <t>Embarque Granzas</t>
  </si>
  <si>
    <t>Sinter Feed Acopiado (trenes)</t>
  </si>
  <si>
    <t>Sinter Feed Infiernillo (camiones)</t>
  </si>
  <si>
    <t>Sinter Feed APC</t>
  </si>
  <si>
    <t>Sinter Feed Caro</t>
  </si>
  <si>
    <t>SF SERCOOP</t>
  </si>
  <si>
    <t>SF Tofo</t>
  </si>
  <si>
    <t>Resguardo</t>
  </si>
  <si>
    <t>SERCOOP</t>
  </si>
  <si>
    <t>Embarque Preconcentrado Ventas</t>
  </si>
  <si>
    <t>Humedad delta stock ventas</t>
  </si>
  <si>
    <t>Mediciones</t>
  </si>
  <si>
    <t>Balance</t>
  </si>
  <si>
    <t>% Cambio relativo</t>
  </si>
  <si>
    <t>Max Var Ton</t>
  </si>
  <si>
    <t>Max Var  FeT</t>
  </si>
  <si>
    <t>Flujos</t>
  </si>
  <si>
    <t>TMSD</t>
  </si>
  <si>
    <t>%Fe T</t>
  </si>
  <si>
    <t>Alim Mina</t>
  </si>
  <si>
    <t>Alim ML Pleito a CH-CM</t>
  </si>
  <si>
    <t>Rechazos</t>
  </si>
  <si>
    <t>Producción CH a Stock Intermedio</t>
  </si>
  <si>
    <t>Otros Materiales desde Pleito a Stock Intermedio</t>
  </si>
  <si>
    <t>Delta Stock Intermedio</t>
  </si>
  <si>
    <t>Alimentación a Concentradora</t>
  </si>
  <si>
    <t>By Pass Stock Intermedio a Stock Preconcentrado</t>
  </si>
  <si>
    <t>Rechazo a Botadero</t>
  </si>
  <si>
    <t>SF APC</t>
  </si>
  <si>
    <t>Recepción Infiernillo</t>
  </si>
  <si>
    <t>Ventas locales</t>
  </si>
  <si>
    <t>SF CRISTALES</t>
  </si>
  <si>
    <t>SF CARO</t>
  </si>
  <si>
    <t>SF ALGARROBO</t>
  </si>
  <si>
    <t>GR ALGARROBO</t>
  </si>
  <si>
    <t>GR CRISTALES</t>
  </si>
  <si>
    <t>GR PLEITO</t>
  </si>
  <si>
    <t>Recepción Preconcentrado ventas</t>
  </si>
  <si>
    <t>Delta Preconcentrado Ventas</t>
  </si>
  <si>
    <t>Premixto PL</t>
  </si>
  <si>
    <t>Cristales</t>
  </si>
  <si>
    <t>Caro</t>
  </si>
  <si>
    <t>Algarrobo</t>
  </si>
  <si>
    <t>BALANCE GLOBAL MASA</t>
  </si>
  <si>
    <t>VARIACIONES DE INVENTARIOS</t>
  </si>
  <si>
    <t>Alim Chancado</t>
  </si>
  <si>
    <t>RECHAZOS CH -CM</t>
  </si>
  <si>
    <t>Recep ML Pleito</t>
  </si>
  <si>
    <t>Otros Mat a Stock Intermedio desde Pleito</t>
  </si>
  <si>
    <t>Almac Concentrado</t>
  </si>
  <si>
    <t>Finos Pleito a S Emergencia 1</t>
  </si>
  <si>
    <t>Stock Pellet Feed ROM</t>
  </si>
  <si>
    <t>Cola Molienda</t>
  </si>
  <si>
    <t>S Sinter Feed Patio Tolva</t>
  </si>
  <si>
    <t>Pérdidas Transporte</t>
  </si>
  <si>
    <t>S  Emergencia 1</t>
  </si>
  <si>
    <t>Sinter MLC a S Emergencia 4</t>
  </si>
  <si>
    <t>S  Emergencia 2</t>
  </si>
  <si>
    <t>Transp Pellet Feed Camiones</t>
  </si>
  <si>
    <t>Otros Mat a Preconcentrado</t>
  </si>
  <si>
    <t>S  Emergencia 3</t>
  </si>
  <si>
    <t>Embarque SF MLC</t>
  </si>
  <si>
    <t>Recep SFMLC</t>
  </si>
  <si>
    <t>S  Emergencia 4</t>
  </si>
  <si>
    <t>Recep P55 desde MLC</t>
  </si>
  <si>
    <t>Stock ML Pleito</t>
  </si>
  <si>
    <t>Recep SF desde MLC</t>
  </si>
  <si>
    <t>S Pellet Feed Guayacan</t>
  </si>
  <si>
    <t>Embarque Prec Ventas</t>
  </si>
  <si>
    <t>Recep Finos Pleito</t>
  </si>
  <si>
    <t>Stock Finos Guayacan</t>
  </si>
  <si>
    <t>Repep PlantaCristales</t>
  </si>
  <si>
    <t>Stock Granzas</t>
  </si>
  <si>
    <t>Recep Granzas</t>
  </si>
  <si>
    <t>Stcck Prec Ventas</t>
  </si>
  <si>
    <t>Recep APC</t>
  </si>
  <si>
    <t>Recep SF CRISTALES</t>
  </si>
  <si>
    <t>Recep SF CARO</t>
  </si>
  <si>
    <t>Recep SF ALGARROBO</t>
  </si>
  <si>
    <t>Recep Prec Ventas</t>
  </si>
  <si>
    <t>Rec EL Dorado</t>
  </si>
  <si>
    <t>Rec Tofo</t>
  </si>
  <si>
    <t>Rec Rsguardo</t>
  </si>
  <si>
    <t>Rec Premixto PL</t>
  </si>
  <si>
    <t>TOTAL ENTRADAS</t>
  </si>
  <si>
    <t xml:space="preserve">VAR NETA </t>
  </si>
  <si>
    <t>TOTAL SALIDAS</t>
  </si>
  <si>
    <t>ENTRADAS - VAR INVENTARIO - SALIDAS</t>
  </si>
  <si>
    <t>BALANCE GLOBAL FINOS</t>
  </si>
  <si>
    <t>Recep CRISTALES</t>
  </si>
  <si>
    <t>Recep CARO</t>
  </si>
  <si>
    <t>Recep ALGARROBO</t>
  </si>
  <si>
    <t>Recepcion Preconcentrado ventas</t>
  </si>
  <si>
    <t>Embarque Preconcentrado ventas</t>
  </si>
  <si>
    <t>Alimentacion a Concentradora</t>
  </si>
  <si>
    <t>Alimentacion Preconcentrado a Moli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</si>
</sst>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_-;\-* #,##0.00_-;_-* \-??_-;_-@_-"/>
    <numFmt numFmtId="165" formatCode="0\ %"/>
    <numFmt numFmtId="166" formatCode="#,##0&quot; ton&quot;"/>
    <numFmt numFmtId="167" formatCode="0.00\ %"/>
    <numFmt numFmtId="168" formatCode="0.0\ %"/>
    <numFmt numFmtId="169" formatCode="#,##0.000"/>
    <numFmt numFmtId="170" formatCode="#,##0_ ;\-#,##0\ "/>
    <numFmt numFmtId="171" formatCode="#,##0.00_ ;\-#,##0.00\ "/>
    <numFmt numFmtId="172" formatCode="#,##0.0_ ;\-#,##0.0\ "/>
    <numFmt numFmtId="173" formatCode="#,##0.000_ ;\-#,##0.000\ "/>
    <numFmt numFmtId="174" formatCode="#,##0.0000000_ ;\-#,##0.0000000\ "/>
    <numFmt numFmtId="175" formatCode="0.0%"/>
  </numFmts>
  <fonts count="4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SeNGOU UI"/>
      <charset val="1"/>
    </font>
    <font>
      <b/>
      <sz val="12"/>
      <color rgb="FF046ECE"/>
      <name val="SeNGOU UI"/>
      <charset val="1"/>
    </font>
    <font>
      <b/>
      <sz val="8"/>
      <color rgb="FF046ECE"/>
      <name val="SeNGOU UI"/>
      <charset val="1"/>
    </font>
    <font>
      <b/>
      <sz val="11"/>
      <color theme="8" tint="-0.249977111117893"/>
      <name val="Calibri"/>
      <family val="2"/>
      <charset val="1"/>
    </font>
    <font>
      <b/>
      <sz val="11"/>
      <color theme="0"/>
      <name val="SeNGOU UI"/>
      <charset val="1"/>
    </font>
    <font>
      <b/>
      <sz val="9"/>
      <color rgb="FF046ECE"/>
      <name val="SeNGOU UI"/>
      <charset val="1"/>
    </font>
    <font>
      <b/>
      <sz val="11"/>
      <color theme="8" tint="-0.249977111117893"/>
      <name val="SeNGOU UI"/>
      <charset val="1"/>
    </font>
    <font>
      <b/>
      <sz val="11"/>
      <color rgb="FF046ECE"/>
      <name val="SeNGOU UI"/>
      <charset val="1"/>
    </font>
    <font>
      <sz val="11"/>
      <color rgb="FF046ECE"/>
      <name val="SeNGOU UI"/>
      <charset val="1"/>
    </font>
    <font>
      <b/>
      <sz val="11"/>
      <color theme="4"/>
      <name val="SeNGOU UI"/>
      <charset val="1"/>
    </font>
    <font>
      <sz val="11"/>
      <color theme="8" tint="-0.249977111117893"/>
      <name val="SeNGOU UI"/>
      <charset val="1"/>
    </font>
    <font>
      <b/>
      <sz val="10"/>
      <color rgb="FF046ECE"/>
      <name val="SeNGOU UI"/>
      <charset val="1"/>
    </font>
    <font>
      <sz val="10"/>
      <color theme="3"/>
      <name val="Calibri"/>
      <family val="2"/>
      <charset val="1"/>
    </font>
    <font>
      <sz val="11"/>
      <color theme="3"/>
      <name val="Calibri"/>
      <family val="2"/>
      <charset val="1"/>
    </font>
    <font>
      <b/>
      <sz val="12"/>
      <color theme="3"/>
      <name val="Calibri"/>
      <family val="2"/>
      <charset val="1"/>
    </font>
    <font>
      <sz val="8"/>
      <color theme="3"/>
      <name val="Calibri"/>
      <family val="2"/>
      <charset val="1"/>
    </font>
    <font>
      <b/>
      <sz val="8"/>
      <color theme="3"/>
      <name val="Calibri"/>
      <family val="2"/>
      <charset val="1"/>
    </font>
    <font>
      <b/>
      <sz val="8"/>
      <color theme="0"/>
      <name val="Calibri"/>
      <family val="2"/>
      <charset val="1"/>
    </font>
    <font>
      <sz val="8"/>
      <color theme="8" tint="-0.499984740745262"/>
      <name val="Calibri"/>
      <family val="2"/>
      <charset val="1"/>
    </font>
    <font>
      <b/>
      <sz val="8"/>
      <name val="Calibri"/>
      <family val="2"/>
      <charset val="1"/>
    </font>
    <font>
      <sz val="10"/>
      <name val="Calibri"/>
      <family val="2"/>
      <charset val="1"/>
    </font>
    <font>
      <sz val="8"/>
      <name val="Calibri"/>
      <family val="2"/>
      <charset val="1"/>
    </font>
    <font>
      <sz val="11"/>
      <name val="Calibri"/>
      <family val="2"/>
      <charset val="1"/>
    </font>
    <font>
      <sz val="11"/>
      <name val="Calibri (Body)"/>
      <charset val="1"/>
    </font>
    <font>
      <b/>
      <sz val="14"/>
      <name val="Calibri"/>
      <family val="2"/>
      <charset val="1"/>
    </font>
    <font>
      <b/>
      <sz val="12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libri (Body)"/>
      <charset val="1"/>
    </font>
    <font>
      <b/>
      <sz val="18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rgb="FFC00000"/>
      <name val="Calibri"/>
      <family val="2"/>
      <charset val="1"/>
    </font>
    <font>
      <b/>
      <sz val="10"/>
      <color theme="8" tint="-0.249977111117893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113AAF"/>
        <bgColor rgb="FF1F4E79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E8E6E6"/>
      </patternFill>
    </fill>
    <fill>
      <patternFill patternType="solid">
        <fgColor theme="3"/>
        <bgColor rgb="FF1F4E79"/>
      </patternFill>
    </fill>
    <fill>
      <patternFill patternType="solid">
        <fgColor theme="2"/>
        <bgColor rgb="FFE8E6E6"/>
      </patternFill>
    </fill>
    <fill>
      <patternFill patternType="solid">
        <fgColor rgb="FFE8E6E6"/>
        <bgColor rgb="FFE7E6E6"/>
      </patternFill>
    </fill>
    <fill>
      <patternFill patternType="solid">
        <fgColor rgb="FFACB8CA"/>
        <bgColor rgb="FFADB9CA"/>
      </patternFill>
    </fill>
    <fill>
      <patternFill patternType="solid">
        <fgColor rgb="FFFFFF00"/>
        <bgColor rgb="FFFFFF00"/>
      </patternFill>
    </fill>
    <fill>
      <patternFill patternType="solid">
        <fgColor theme="8" tint="0.59978026673177287"/>
        <bgColor rgb="FFC5E0B4"/>
      </patternFill>
    </fill>
    <fill>
      <patternFill patternType="solid">
        <fgColor theme="9" tint="0.59978026673177287"/>
        <bgColor rgb="FFBDD7EE"/>
      </patternFill>
    </fill>
    <fill>
      <patternFill patternType="solid">
        <fgColor theme="7" tint="0.79979857783745845"/>
        <bgColor rgb="FFFBE5D6"/>
      </patternFill>
    </fill>
    <fill>
      <patternFill patternType="solid">
        <fgColor theme="3" tint="0.59978026673177287"/>
        <bgColor rgb="FFACB8CA"/>
      </patternFill>
    </fill>
    <fill>
      <patternFill patternType="solid">
        <fgColor rgb="FFFF0000"/>
        <bgColor rgb="FFC00000"/>
      </patternFill>
    </fill>
    <fill>
      <patternFill patternType="solid">
        <fgColor rgb="FF66FF99"/>
        <bgColor rgb="FFC5E0B4"/>
      </patternFill>
    </fill>
    <fill>
      <patternFill patternType="solid">
        <fgColor rgb="FF0070C0"/>
        <bgColor rgb="FF046ECE"/>
      </patternFill>
    </fill>
    <fill>
      <patternFill patternType="solid">
        <fgColor theme="9" tint="0.79979857783745845"/>
        <bgColor rgb="FFE7E6E6"/>
      </patternFill>
    </fill>
    <fill>
      <patternFill patternType="solid">
        <fgColor theme="5" tint="0.79979857783745845"/>
        <bgColor rgb="FFFFF2CC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5" fontId="40" fillId="0" borderId="0" applyBorder="0" applyProtection="0"/>
    <xf numFmtId="164" fontId="40" fillId="0" borderId="0" applyBorder="0" applyProtection="0"/>
    <xf numFmtId="0" fontId="40" fillId="0" borderId="0"/>
    <xf numFmtId="0" fontId="1" fillId="0" borderId="0"/>
    <xf numFmtId="165" fontId="40" fillId="0" borderId="0" applyBorder="0" applyProtection="0"/>
    <xf numFmtId="165" fontId="40" fillId="0" borderId="0" applyBorder="0" applyProtection="0"/>
  </cellStyleXfs>
  <cellXfs count="263">
    <xf numFmtId="0" fontId="0" fillId="0" borderId="0" xfId="0"/>
    <xf numFmtId="49" fontId="16" fillId="4" borderId="6" xfId="0" applyNumberFormat="1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3" fontId="5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0" fontId="9" fillId="0" borderId="0" xfId="0" applyFont="1"/>
    <xf numFmtId="3" fontId="8" fillId="0" borderId="0" xfId="0" applyNumberFormat="1" applyFont="1"/>
    <xf numFmtId="0" fontId="10" fillId="0" borderId="0" xfId="0" applyFont="1" applyAlignment="1">
      <alignment vertical="top"/>
    </xf>
    <xf numFmtId="0" fontId="9" fillId="0" borderId="0" xfId="0" applyFont="1" applyAlignment="1">
      <alignment vertical="top"/>
    </xf>
    <xf numFmtId="168" fontId="11" fillId="0" borderId="0" xfId="1" applyNumberFormat="1" applyFont="1" applyBorder="1" applyProtection="1"/>
    <xf numFmtId="0" fontId="12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vertical="top"/>
    </xf>
    <xf numFmtId="0" fontId="14" fillId="0" borderId="0" xfId="4" applyFont="1"/>
    <xf numFmtId="0" fontId="14" fillId="3" borderId="1" xfId="4" applyFont="1" applyFill="1" applyBorder="1" applyAlignment="1">
      <alignment horizontal="center" vertical="center"/>
    </xf>
    <xf numFmtId="0" fontId="14" fillId="3" borderId="2" xfId="4" applyFont="1" applyFill="1" applyBorder="1" applyAlignment="1">
      <alignment horizontal="center" vertical="center"/>
    </xf>
    <xf numFmtId="0" fontId="14" fillId="0" borderId="2" xfId="4" applyFont="1" applyBorder="1"/>
    <xf numFmtId="0" fontId="14" fillId="0" borderId="3" xfId="4" applyFont="1" applyBorder="1"/>
    <xf numFmtId="0" fontId="14" fillId="3" borderId="4" xfId="4" applyFont="1" applyFill="1" applyBorder="1" applyAlignment="1">
      <alignment horizontal="center" vertical="center"/>
    </xf>
    <xf numFmtId="0" fontId="14" fillId="3" borderId="0" xfId="4" applyFont="1" applyFill="1" applyAlignment="1">
      <alignment horizontal="center" vertical="center"/>
    </xf>
    <xf numFmtId="0" fontId="14" fillId="0" borderId="7" xfId="4" applyFont="1" applyBorder="1"/>
    <xf numFmtId="49" fontId="16" fillId="4" borderId="8" xfId="0" applyNumberFormat="1" applyFont="1" applyFill="1" applyBorder="1" applyAlignment="1">
      <alignment horizontal="center" vertical="center" wrapText="1"/>
    </xf>
    <xf numFmtId="49" fontId="16" fillId="4" borderId="9" xfId="0" applyNumberFormat="1" applyFont="1" applyFill="1" applyBorder="1" applyAlignment="1">
      <alignment horizontal="center" vertical="center" wrapText="1"/>
    </xf>
    <xf numFmtId="0" fontId="14" fillId="3" borderId="0" xfId="4" applyFont="1" applyFill="1"/>
    <xf numFmtId="14" fontId="14" fillId="3" borderId="0" xfId="4" applyNumberFormat="1" applyFont="1" applyFill="1"/>
    <xf numFmtId="0" fontId="14" fillId="0" borderId="4" xfId="4" applyFont="1" applyBorder="1"/>
    <xf numFmtId="0" fontId="17" fillId="0" borderId="0" xfId="4" applyFont="1"/>
    <xf numFmtId="0" fontId="18" fillId="3" borderId="12" xfId="4" applyFont="1" applyFill="1" applyBorder="1" applyAlignment="1">
      <alignment horizontal="center" vertical="center"/>
    </xf>
    <xf numFmtId="0" fontId="18" fillId="3" borderId="6" xfId="4" applyFont="1" applyFill="1" applyBorder="1" applyAlignment="1">
      <alignment horizontal="center" vertical="center"/>
    </xf>
    <xf numFmtId="0" fontId="18" fillId="3" borderId="8" xfId="4" applyFont="1" applyFill="1" applyBorder="1" applyAlignment="1">
      <alignment horizontal="center" vertical="center"/>
    </xf>
    <xf numFmtId="0" fontId="18" fillId="3" borderId="10" xfId="4" applyFont="1" applyFill="1" applyBorder="1" applyAlignment="1">
      <alignment horizontal="center" vertical="center"/>
    </xf>
    <xf numFmtId="170" fontId="17" fillId="0" borderId="9" xfId="2" applyNumberFormat="1" applyFont="1" applyBorder="1" applyAlignment="1" applyProtection="1">
      <alignment horizontal="center" vertical="center"/>
    </xf>
    <xf numFmtId="167" fontId="17" fillId="0" borderId="9" xfId="1" applyNumberFormat="1" applyFont="1" applyBorder="1" applyAlignment="1" applyProtection="1">
      <alignment horizontal="center" vertical="center"/>
    </xf>
    <xf numFmtId="170" fontId="17" fillId="3" borderId="9" xfId="2" applyNumberFormat="1" applyFont="1" applyFill="1" applyBorder="1" applyAlignment="1" applyProtection="1">
      <alignment horizontal="center" vertical="center"/>
    </xf>
    <xf numFmtId="170" fontId="17" fillId="7" borderId="9" xfId="2" applyNumberFormat="1" applyFont="1" applyFill="1" applyBorder="1" applyAlignment="1" applyProtection="1">
      <alignment horizontal="center" vertical="center"/>
    </xf>
    <xf numFmtId="167" fontId="20" fillId="6" borderId="9" xfId="1" applyNumberFormat="1" applyFont="1" applyFill="1" applyBorder="1" applyAlignment="1" applyProtection="1">
      <alignment horizontal="center"/>
    </xf>
    <xf numFmtId="170" fontId="17" fillId="0" borderId="0" xfId="2" applyNumberFormat="1" applyFont="1" applyBorder="1" applyAlignment="1" applyProtection="1">
      <alignment horizontal="center" vertical="center"/>
    </xf>
    <xf numFmtId="170" fontId="17" fillId="6" borderId="9" xfId="2" applyNumberFormat="1" applyFont="1" applyFill="1" applyBorder="1" applyAlignment="1" applyProtection="1">
      <alignment horizontal="center" vertical="center"/>
    </xf>
    <xf numFmtId="165" fontId="17" fillId="6" borderId="9" xfId="1" applyFont="1" applyFill="1" applyBorder="1" applyAlignment="1" applyProtection="1">
      <alignment horizontal="center" vertical="center"/>
    </xf>
    <xf numFmtId="165" fontId="17" fillId="0" borderId="9" xfId="1" applyFont="1" applyBorder="1" applyAlignment="1" applyProtection="1">
      <alignment horizontal="center" vertical="center"/>
    </xf>
    <xf numFmtId="167" fontId="17" fillId="6" borderId="9" xfId="1" applyNumberFormat="1" applyFont="1" applyFill="1" applyBorder="1" applyAlignment="1" applyProtection="1">
      <alignment horizontal="center" vertical="center"/>
    </xf>
    <xf numFmtId="3" fontId="20" fillId="6" borderId="9" xfId="4" applyNumberFormat="1" applyFont="1" applyFill="1" applyBorder="1" applyAlignment="1">
      <alignment horizontal="center"/>
    </xf>
    <xf numFmtId="3" fontId="17" fillId="0" borderId="9" xfId="4" applyNumberFormat="1" applyFont="1" applyBorder="1" applyAlignment="1">
      <alignment horizontal="center"/>
    </xf>
    <xf numFmtId="167" fontId="17" fillId="0" borderId="9" xfId="1" applyNumberFormat="1" applyFont="1" applyBorder="1" applyAlignment="1" applyProtection="1">
      <alignment horizontal="center"/>
    </xf>
    <xf numFmtId="170" fontId="18" fillId="6" borderId="16" xfId="2" applyNumberFormat="1" applyFont="1" applyFill="1" applyBorder="1" applyAlignment="1" applyProtection="1">
      <alignment horizontal="center" vertical="center"/>
    </xf>
    <xf numFmtId="170" fontId="18" fillId="6" borderId="17" xfId="2" applyNumberFormat="1" applyFont="1" applyFill="1" applyBorder="1" applyAlignment="1" applyProtection="1">
      <alignment horizontal="center" vertical="center"/>
    </xf>
    <xf numFmtId="1" fontId="14" fillId="0" borderId="0" xfId="4" applyNumberFormat="1" applyFont="1"/>
    <xf numFmtId="171" fontId="14" fillId="0" borderId="0" xfId="4" applyNumberFormat="1" applyFont="1"/>
    <xf numFmtId="172" fontId="14" fillId="0" borderId="0" xfId="4" applyNumberFormat="1" applyFont="1"/>
    <xf numFmtId="170" fontId="17" fillId="0" borderId="19" xfId="2" applyNumberFormat="1" applyFont="1" applyBorder="1" applyAlignment="1" applyProtection="1">
      <alignment horizontal="center" vertical="center"/>
    </xf>
    <xf numFmtId="167" fontId="17" fillId="0" borderId="19" xfId="1" applyNumberFormat="1" applyFont="1" applyBorder="1" applyAlignment="1" applyProtection="1">
      <alignment horizontal="center" vertical="center"/>
    </xf>
    <xf numFmtId="170" fontId="14" fillId="0" borderId="0" xfId="4" applyNumberFormat="1" applyFont="1"/>
    <xf numFmtId="170" fontId="17" fillId="6" borderId="19" xfId="2" applyNumberFormat="1" applyFont="1" applyFill="1" applyBorder="1" applyAlignment="1" applyProtection="1">
      <alignment horizontal="center" vertical="center"/>
    </xf>
    <xf numFmtId="165" fontId="17" fillId="6" borderId="19" xfId="1" applyFont="1" applyFill="1" applyBorder="1" applyAlignment="1" applyProtection="1">
      <alignment horizontal="center" vertical="center"/>
    </xf>
    <xf numFmtId="0" fontId="17" fillId="6" borderId="21" xfId="0" applyFont="1" applyFill="1" applyBorder="1" applyAlignment="1">
      <alignment horizontal="left" vertical="center"/>
    </xf>
    <xf numFmtId="0" fontId="17" fillId="6" borderId="22" xfId="0" applyFont="1" applyFill="1" applyBorder="1" applyAlignment="1">
      <alignment horizontal="left" vertical="center"/>
    </xf>
    <xf numFmtId="0" fontId="17" fillId="6" borderId="23" xfId="0" applyFont="1" applyFill="1" applyBorder="1" applyAlignment="1">
      <alignment horizontal="left" vertical="center"/>
    </xf>
    <xf numFmtId="165" fontId="17" fillId="0" borderId="19" xfId="1" applyFont="1" applyBorder="1" applyAlignment="1" applyProtection="1">
      <alignment horizontal="center" vertical="center"/>
    </xf>
    <xf numFmtId="0" fontId="17" fillId="0" borderId="21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167" fontId="17" fillId="7" borderId="9" xfId="2" applyNumberFormat="1" applyFont="1" applyFill="1" applyBorder="1" applyAlignment="1" applyProtection="1">
      <alignment horizontal="center" vertical="center"/>
    </xf>
    <xf numFmtId="165" fontId="17" fillId="7" borderId="9" xfId="2" applyNumberFormat="1" applyFont="1" applyFill="1" applyBorder="1" applyAlignment="1" applyProtection="1">
      <alignment horizontal="center" vertical="center"/>
    </xf>
    <xf numFmtId="165" fontId="18" fillId="6" borderId="16" xfId="1" applyFont="1" applyFill="1" applyBorder="1" applyAlignment="1" applyProtection="1">
      <alignment horizontal="center" vertical="center"/>
    </xf>
    <xf numFmtId="0" fontId="18" fillId="0" borderId="0" xfId="4" applyFont="1" applyAlignment="1">
      <alignment horizontal="left" vertical="center" wrapText="1"/>
    </xf>
    <xf numFmtId="170" fontId="18" fillId="0" borderId="0" xfId="2" applyNumberFormat="1" applyFont="1" applyBorder="1" applyAlignment="1" applyProtection="1">
      <alignment horizontal="center" vertical="center"/>
    </xf>
    <xf numFmtId="173" fontId="21" fillId="0" borderId="0" xfId="2" applyNumberFormat="1" applyFont="1" applyBorder="1" applyAlignment="1" applyProtection="1">
      <alignment horizontal="center" vertical="center"/>
    </xf>
    <xf numFmtId="170" fontId="21" fillId="0" borderId="0" xfId="2" applyNumberFormat="1" applyFont="1" applyBorder="1" applyAlignment="1" applyProtection="1">
      <alignment horizontal="center" vertical="center"/>
    </xf>
    <xf numFmtId="0" fontId="22" fillId="0" borderId="0" xfId="4" applyFont="1"/>
    <xf numFmtId="0" fontId="22" fillId="0" borderId="7" xfId="4" applyFont="1" applyBorder="1"/>
    <xf numFmtId="170" fontId="22" fillId="0" borderId="7" xfId="4" applyNumberFormat="1" applyFont="1" applyBorder="1"/>
    <xf numFmtId="165" fontId="17" fillId="0" borderId="8" xfId="2" applyNumberFormat="1" applyFont="1" applyBorder="1" applyAlignment="1" applyProtection="1">
      <alignment horizontal="center" vertical="center"/>
    </xf>
    <xf numFmtId="165" fontId="17" fillId="0" borderId="10" xfId="2" applyNumberFormat="1" applyFont="1" applyBorder="1" applyAlignment="1" applyProtection="1">
      <alignment horizontal="center" vertical="center"/>
    </xf>
    <xf numFmtId="165" fontId="23" fillId="0" borderId="0" xfId="2" applyNumberFormat="1" applyFont="1" applyBorder="1" applyAlignment="1" applyProtection="1">
      <alignment horizontal="center" vertical="center"/>
    </xf>
    <xf numFmtId="174" fontId="14" fillId="0" borderId="0" xfId="4" applyNumberFormat="1" applyFont="1"/>
    <xf numFmtId="3" fontId="17" fillId="0" borderId="20" xfId="4" applyNumberFormat="1" applyFont="1" applyBorder="1" applyAlignment="1">
      <alignment horizontal="center" vertical="center"/>
    </xf>
    <xf numFmtId="3" fontId="17" fillId="0" borderId="6" xfId="4" applyNumberFormat="1" applyFont="1" applyBorder="1" applyAlignment="1">
      <alignment horizontal="center" vertical="center"/>
    </xf>
    <xf numFmtId="3" fontId="23" fillId="0" borderId="0" xfId="4" applyNumberFormat="1" applyFont="1" applyAlignment="1">
      <alignment horizontal="center" vertical="center"/>
    </xf>
    <xf numFmtId="3" fontId="17" fillId="0" borderId="15" xfId="4" applyNumberFormat="1" applyFont="1" applyBorder="1" applyAlignment="1">
      <alignment horizontal="center" vertical="center"/>
    </xf>
    <xf numFmtId="3" fontId="17" fillId="0" borderId="25" xfId="4" applyNumberFormat="1" applyFont="1" applyBorder="1" applyAlignment="1">
      <alignment horizontal="center" vertical="center"/>
    </xf>
    <xf numFmtId="170" fontId="22" fillId="0" borderId="0" xfId="4" applyNumberFormat="1" applyFont="1"/>
    <xf numFmtId="3" fontId="22" fillId="0" borderId="0" xfId="4" applyNumberFormat="1" applyFont="1"/>
    <xf numFmtId="1" fontId="22" fillId="0" borderId="0" xfId="4" applyNumberFormat="1" applyFont="1"/>
    <xf numFmtId="0" fontId="24" fillId="0" borderId="0" xfId="0" applyFont="1"/>
    <xf numFmtId="0" fontId="14" fillId="0" borderId="27" xfId="4" applyFont="1" applyBorder="1"/>
    <xf numFmtId="0" fontId="14" fillId="0" borderId="28" xfId="4" applyFont="1" applyBorder="1"/>
    <xf numFmtId="3" fontId="17" fillId="0" borderId="29" xfId="4" applyNumberFormat="1" applyFont="1" applyBorder="1" applyAlignment="1">
      <alignment horizontal="center" vertical="center"/>
    </xf>
    <xf numFmtId="3" fontId="17" fillId="0" borderId="30" xfId="4" applyNumberFormat="1" applyFont="1" applyBorder="1" applyAlignment="1">
      <alignment horizontal="center" vertical="center"/>
    </xf>
    <xf numFmtId="0" fontId="14" fillId="0" borderId="28" xfId="4" applyFont="1" applyBorder="1" applyAlignment="1">
      <alignment horizontal="center"/>
    </xf>
    <xf numFmtId="3" fontId="14" fillId="0" borderId="28" xfId="4" applyNumberFormat="1" applyFont="1" applyBorder="1" applyAlignment="1">
      <alignment horizontal="center"/>
    </xf>
    <xf numFmtId="0" fontId="22" fillId="0" borderId="28" xfId="4" applyFont="1" applyBorder="1"/>
    <xf numFmtId="0" fontId="22" fillId="0" borderId="30" xfId="4" applyFont="1" applyBorder="1"/>
    <xf numFmtId="3" fontId="21" fillId="0" borderId="28" xfId="4" applyNumberFormat="1" applyFont="1" applyBorder="1" applyAlignment="1">
      <alignment horizontal="center" vertical="center"/>
    </xf>
    <xf numFmtId="0" fontId="17" fillId="0" borderId="0" xfId="4" applyFont="1" applyAlignment="1">
      <alignment vertical="center"/>
    </xf>
    <xf numFmtId="0" fontId="18" fillId="0" borderId="0" xfId="4" applyFont="1" applyAlignment="1">
      <alignment horizontal="center" vertical="center"/>
    </xf>
    <xf numFmtId="0" fontId="19" fillId="0" borderId="0" xfId="4" applyFont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1" applyFont="1" applyBorder="1" applyAlignment="1" applyProtection="1">
      <alignment horizontal="center" vertical="center"/>
    </xf>
    <xf numFmtId="167" fontId="24" fillId="0" borderId="0" xfId="0" applyNumberFormat="1" applyFont="1"/>
    <xf numFmtId="167" fontId="25" fillId="0" borderId="0" xfId="0" applyNumberFormat="1" applyFont="1"/>
    <xf numFmtId="0" fontId="25" fillId="0" borderId="0" xfId="0" applyFont="1"/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wrapText="1"/>
    </xf>
    <xf numFmtId="3" fontId="24" fillId="0" borderId="0" xfId="0" applyNumberFormat="1" applyFont="1"/>
    <xf numFmtId="0" fontId="24" fillId="0" borderId="0" xfId="0" applyFont="1" applyAlignment="1">
      <alignment horizontal="center"/>
    </xf>
    <xf numFmtId="3" fontId="24" fillId="0" borderId="0" xfId="0" applyNumberFormat="1" applyFont="1" applyAlignment="1">
      <alignment horizontal="center"/>
    </xf>
    <xf numFmtId="0" fontId="24" fillId="0" borderId="0" xfId="0" applyFont="1" applyAlignment="1">
      <alignment wrapText="1"/>
    </xf>
    <xf numFmtId="0" fontId="24" fillId="0" borderId="0" xfId="3" applyFont="1" applyAlignment="1">
      <alignment horizontal="center"/>
    </xf>
    <xf numFmtId="167" fontId="28" fillId="0" borderId="0" xfId="0" applyNumberFormat="1" applyFont="1"/>
    <xf numFmtId="175" fontId="24" fillId="0" borderId="0" xfId="0" applyNumberFormat="1" applyFont="1"/>
    <xf numFmtId="167" fontId="27" fillId="0" borderId="0" xfId="0" applyNumberFormat="1" applyFont="1"/>
    <xf numFmtId="1" fontId="24" fillId="0" borderId="0" xfId="0" applyNumberFormat="1" applyFont="1"/>
    <xf numFmtId="3" fontId="28" fillId="0" borderId="0" xfId="0" applyNumberFormat="1" applyFont="1"/>
    <xf numFmtId="3" fontId="25" fillId="0" borderId="0" xfId="0" applyNumberFormat="1" applyFont="1"/>
    <xf numFmtId="0" fontId="29" fillId="0" borderId="0" xfId="0" applyFont="1"/>
    <xf numFmtId="0" fontId="28" fillId="0" borderId="0" xfId="0" applyFont="1"/>
    <xf numFmtId="167" fontId="26" fillId="0" borderId="0" xfId="0" applyNumberFormat="1" applyFont="1"/>
    <xf numFmtId="1" fontId="0" fillId="0" borderId="0" xfId="0" applyNumberFormat="1"/>
    <xf numFmtId="167" fontId="0" fillId="0" borderId="0" xfId="0" applyNumberFormat="1" applyAlignment="1">
      <alignment horizontal="right"/>
    </xf>
    <xf numFmtId="1" fontId="30" fillId="0" borderId="9" xfId="0" applyNumberFormat="1" applyFont="1" applyBorder="1" applyAlignment="1">
      <alignment horizontal="left"/>
    </xf>
    <xf numFmtId="1" fontId="30" fillId="0" borderId="9" xfId="2" applyNumberFormat="1" applyFont="1" applyBorder="1" applyAlignment="1" applyProtection="1">
      <alignment horizontal="right" vertical="center"/>
    </xf>
    <xf numFmtId="167" fontId="30" fillId="0" borderId="9" xfId="0" applyNumberFormat="1" applyFont="1" applyBorder="1" applyAlignment="1">
      <alignment horizontal="right"/>
    </xf>
    <xf numFmtId="167" fontId="30" fillId="0" borderId="9" xfId="2" applyNumberFormat="1" applyFont="1" applyBorder="1" applyAlignment="1" applyProtection="1">
      <alignment horizontal="right" vertical="center"/>
    </xf>
    <xf numFmtId="1" fontId="30" fillId="0" borderId="9" xfId="0" applyNumberFormat="1" applyFont="1" applyBorder="1" applyAlignment="1">
      <alignment horizontal="right"/>
    </xf>
    <xf numFmtId="167" fontId="30" fillId="0" borderId="9" xfId="5" applyNumberFormat="1" applyFont="1" applyBorder="1" applyAlignment="1" applyProtection="1">
      <alignment horizontal="right" vertical="center"/>
    </xf>
    <xf numFmtId="1" fontId="30" fillId="0" borderId="9" xfId="0" applyNumberFormat="1" applyFont="1" applyBorder="1" applyAlignment="1">
      <alignment horizontal="left" vertical="center"/>
    </xf>
    <xf numFmtId="1" fontId="30" fillId="0" borderId="9" xfId="4" applyNumberFormat="1" applyFont="1" applyBorder="1" applyAlignment="1">
      <alignment horizontal="right" vertical="center"/>
    </xf>
    <xf numFmtId="167" fontId="30" fillId="0" borderId="9" xfId="0" applyNumberFormat="1" applyFont="1" applyBorder="1" applyAlignment="1">
      <alignment horizontal="right" vertical="center"/>
    </xf>
    <xf numFmtId="1" fontId="30" fillId="0" borderId="9" xfId="0" applyNumberFormat="1" applyFont="1" applyBorder="1" applyAlignment="1">
      <alignment horizontal="right" vertical="center"/>
    </xf>
    <xf numFmtId="167" fontId="30" fillId="0" borderId="9" xfId="4" applyNumberFormat="1" applyFont="1" applyBorder="1" applyAlignment="1">
      <alignment horizontal="right" vertical="center"/>
    </xf>
    <xf numFmtId="0" fontId="30" fillId="0" borderId="9" xfId="0" applyFont="1" applyBorder="1" applyAlignment="1">
      <alignment horizontal="left" vertical="center"/>
    </xf>
    <xf numFmtId="0" fontId="30" fillId="0" borderId="9" xfId="4" applyFont="1" applyBorder="1" applyAlignment="1">
      <alignment horizontal="left"/>
    </xf>
    <xf numFmtId="167" fontId="30" fillId="0" borderId="9" xfId="4" applyNumberFormat="1" applyFont="1" applyBorder="1" applyAlignment="1">
      <alignment horizontal="right"/>
    </xf>
    <xf numFmtId="0" fontId="30" fillId="0" borderId="9" xfId="0" applyFont="1" applyBorder="1" applyAlignment="1">
      <alignment horizontal="left"/>
    </xf>
    <xf numFmtId="167" fontId="30" fillId="0" borderId="9" xfId="1" applyNumberFormat="1" applyFont="1" applyBorder="1" applyAlignment="1" applyProtection="1">
      <alignment horizontal="right"/>
    </xf>
    <xf numFmtId="0" fontId="31" fillId="0" borderId="31" xfId="3" applyFont="1" applyBorder="1" applyAlignment="1">
      <alignment wrapText="1"/>
    </xf>
    <xf numFmtId="0" fontId="31" fillId="10" borderId="9" xfId="0" applyFont="1" applyFill="1" applyBorder="1"/>
    <xf numFmtId="0" fontId="31" fillId="11" borderId="9" xfId="0" applyFont="1" applyFill="1" applyBorder="1" applyAlignment="1">
      <alignment wrapText="1"/>
    </xf>
    <xf numFmtId="0" fontId="31" fillId="8" borderId="9" xfId="0" applyFont="1" applyFill="1" applyBorder="1"/>
    <xf numFmtId="0" fontId="32" fillId="9" borderId="9" xfId="3" applyFont="1" applyFill="1" applyBorder="1" applyAlignment="1">
      <alignment horizontal="center"/>
    </xf>
    <xf numFmtId="0" fontId="32" fillId="0" borderId="0" xfId="3" applyFont="1" applyAlignment="1">
      <alignment horizontal="center"/>
    </xf>
    <xf numFmtId="167" fontId="31" fillId="12" borderId="9" xfId="0" applyNumberFormat="1" applyFont="1" applyFill="1" applyBorder="1"/>
    <xf numFmtId="0" fontId="31" fillId="0" borderId="9" xfId="0" applyFont="1" applyBorder="1"/>
    <xf numFmtId="167" fontId="31" fillId="0" borderId="9" xfId="0" applyNumberFormat="1" applyFont="1" applyBorder="1"/>
    <xf numFmtId="0" fontId="31" fillId="13" borderId="9" xfId="0" applyFont="1" applyFill="1" applyBorder="1"/>
    <xf numFmtId="0" fontId="31" fillId="14" borderId="9" xfId="0" applyFont="1" applyFill="1" applyBorder="1"/>
    <xf numFmtId="167" fontId="31" fillId="14" borderId="9" xfId="0" applyNumberFormat="1" applyFont="1" applyFill="1" applyBorder="1"/>
    <xf numFmtId="175" fontId="32" fillId="0" borderId="9" xfId="0" applyNumberFormat="1" applyFont="1" applyBorder="1"/>
    <xf numFmtId="175" fontId="32" fillId="0" borderId="0" xfId="0" applyNumberFormat="1" applyFont="1"/>
    <xf numFmtId="167" fontId="32" fillId="0" borderId="9" xfId="0" applyNumberFormat="1" applyFont="1" applyBorder="1"/>
    <xf numFmtId="167" fontId="31" fillId="3" borderId="9" xfId="0" applyNumberFormat="1" applyFont="1" applyFill="1" applyBorder="1"/>
    <xf numFmtId="0" fontId="31" fillId="9" borderId="9" xfId="0" applyFont="1" applyFill="1" applyBorder="1"/>
    <xf numFmtId="167" fontId="31" fillId="9" borderId="9" xfId="0" applyNumberFormat="1" applyFont="1" applyFill="1" applyBorder="1"/>
    <xf numFmtId="0" fontId="31" fillId="15" borderId="9" xfId="0" applyFont="1" applyFill="1" applyBorder="1"/>
    <xf numFmtId="167" fontId="31" fillId="15" borderId="9" xfId="0" applyNumberFormat="1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3" fontId="33" fillId="0" borderId="0" xfId="0" applyNumberFormat="1" applyFont="1"/>
    <xf numFmtId="167" fontId="34" fillId="0" borderId="0" xfId="0" applyNumberFormat="1" applyFont="1"/>
    <xf numFmtId="3" fontId="33" fillId="0" borderId="0" xfId="0" applyNumberFormat="1" applyFont="1" applyAlignment="1">
      <alignment horizontal="left"/>
    </xf>
    <xf numFmtId="3" fontId="35" fillId="0" borderId="0" xfId="0" applyNumberFormat="1" applyFont="1"/>
    <xf numFmtId="167" fontId="34" fillId="0" borderId="0" xfId="0" applyNumberFormat="1" applyFont="1" applyAlignment="1">
      <alignment horizontal="left"/>
    </xf>
    <xf numFmtId="3" fontId="35" fillId="0" borderId="0" xfId="0" applyNumberFormat="1" applyFont="1" applyAlignment="1">
      <alignment horizontal="left"/>
    </xf>
    <xf numFmtId="3" fontId="33" fillId="0" borderId="0" xfId="0" applyNumberFormat="1" applyFont="1" applyAlignment="1">
      <alignment horizontal="right"/>
    </xf>
    <xf numFmtId="167" fontId="34" fillId="0" borderId="0" xfId="0" applyNumberFormat="1" applyFont="1" applyAlignment="1">
      <alignment horizontal="right"/>
    </xf>
    <xf numFmtId="3" fontId="36" fillId="0" borderId="0" xfId="0" applyNumberFormat="1" applyFont="1" applyAlignment="1">
      <alignment horizontal="right" indent="2"/>
    </xf>
    <xf numFmtId="3" fontId="33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right"/>
    </xf>
    <xf numFmtId="3" fontId="36" fillId="0" borderId="0" xfId="0" applyNumberFormat="1" applyFont="1" applyAlignment="1">
      <alignment horizontal="left" indent="1"/>
    </xf>
    <xf numFmtId="167" fontId="34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center"/>
    </xf>
    <xf numFmtId="0" fontId="0" fillId="16" borderId="0" xfId="0" applyFill="1"/>
    <xf numFmtId="3" fontId="33" fillId="16" borderId="0" xfId="0" applyNumberFormat="1" applyFont="1" applyFill="1"/>
    <xf numFmtId="167" fontId="34" fillId="16" borderId="0" xfId="0" applyNumberFormat="1" applyFont="1" applyFill="1"/>
    <xf numFmtId="3" fontId="35" fillId="16" borderId="0" xfId="0" applyNumberFormat="1" applyFont="1" applyFill="1"/>
    <xf numFmtId="3" fontId="36" fillId="0" borderId="0" xfId="0" applyNumberFormat="1" applyFont="1" applyAlignment="1">
      <alignment horizontal="right" indent="4"/>
    </xf>
    <xf numFmtId="3" fontId="0" fillId="0" borderId="0" xfId="0" applyNumberFormat="1"/>
    <xf numFmtId="3" fontId="36" fillId="0" borderId="0" xfId="0" applyNumberFormat="1" applyFont="1" applyAlignment="1">
      <alignment horizontal="left" indent="2"/>
    </xf>
    <xf numFmtId="175" fontId="0" fillId="0" borderId="0" xfId="0" applyNumberFormat="1"/>
    <xf numFmtId="3" fontId="36" fillId="0" borderId="0" xfId="0" applyNumberFormat="1" applyFont="1" applyAlignment="1">
      <alignment horizontal="right" indent="1"/>
    </xf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37" fillId="0" borderId="0" xfId="0" applyFont="1"/>
    <xf numFmtId="3" fontId="0" fillId="0" borderId="9" xfId="0" applyNumberFormat="1" applyBorder="1" applyAlignment="1">
      <alignment horizontal="right" vertical="center" indent="1"/>
    </xf>
    <xf numFmtId="3" fontId="0" fillId="0" borderId="9" xfId="0" applyNumberFormat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32" xfId="0" applyBorder="1" applyAlignment="1">
      <alignment horizontal="left" vertical="center" indent="1"/>
    </xf>
    <xf numFmtId="0" fontId="0" fillId="0" borderId="23" xfId="0" applyBorder="1" applyAlignment="1">
      <alignment horizontal="left" vertical="center" indent="1"/>
    </xf>
    <xf numFmtId="0" fontId="0" fillId="0" borderId="0" xfId="0" applyAlignment="1">
      <alignment horizontal="left" vertical="center"/>
    </xf>
    <xf numFmtId="3" fontId="32" fillId="0" borderId="9" xfId="0" applyNumberFormat="1" applyFont="1" applyBorder="1" applyAlignment="1">
      <alignment vertical="center"/>
    </xf>
    <xf numFmtId="3" fontId="38" fillId="0" borderId="9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37" fillId="0" borderId="32" xfId="0" applyFont="1" applyBorder="1" applyAlignment="1">
      <alignment vertical="center"/>
    </xf>
    <xf numFmtId="0" fontId="31" fillId="0" borderId="23" xfId="0" applyFont="1" applyBorder="1" applyAlignment="1">
      <alignment vertical="center"/>
    </xf>
    <xf numFmtId="0" fontId="31" fillId="0" borderId="32" xfId="0" applyFont="1" applyBorder="1" applyAlignment="1">
      <alignment vertical="center"/>
    </xf>
    <xf numFmtId="3" fontId="31" fillId="0" borderId="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left" vertical="center" wrapText="1" indent="1"/>
    </xf>
    <xf numFmtId="0" fontId="39" fillId="0" borderId="23" xfId="0" applyFont="1" applyBorder="1" applyAlignment="1">
      <alignment horizontal="left" vertical="center" wrapText="1" indent="1"/>
    </xf>
    <xf numFmtId="0" fontId="0" fillId="0" borderId="23" xfId="0" applyBorder="1" applyAlignment="1">
      <alignment horizontal="left" vertical="center" wrapText="1" indent="1"/>
    </xf>
    <xf numFmtId="0" fontId="0" fillId="0" borderId="3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49" fontId="16" fillId="4" borderId="8" xfId="0" applyNumberFormat="1" applyFont="1" applyFill="1" applyBorder="1" applyAlignment="1">
      <alignment horizontal="center" vertical="center" wrapText="1"/>
    </xf>
    <xf numFmtId="0" fontId="17" fillId="0" borderId="11" xfId="4" applyFont="1" applyBorder="1" applyAlignment="1">
      <alignment horizontal="center" vertical="center"/>
    </xf>
    <xf numFmtId="0" fontId="18" fillId="3" borderId="12" xfId="4" applyFont="1" applyFill="1" applyBorder="1" applyAlignment="1">
      <alignment horizontal="center" vertical="center"/>
    </xf>
    <xf numFmtId="0" fontId="17" fillId="0" borderId="5" xfId="4" applyFont="1" applyBorder="1" applyAlignment="1">
      <alignment horizontal="center" vertical="center"/>
    </xf>
    <xf numFmtId="0" fontId="19" fillId="5" borderId="13" xfId="4" applyFont="1" applyFill="1" applyBorder="1" applyAlignment="1">
      <alignment horizontal="center" vertical="center"/>
    </xf>
    <xf numFmtId="0" fontId="19" fillId="5" borderId="14" xfId="4" applyFont="1" applyFill="1" applyBorder="1" applyAlignment="1">
      <alignment horizontal="center" vertical="center"/>
    </xf>
    <xf numFmtId="0" fontId="17" fillId="0" borderId="15" xfId="0" applyFont="1" applyBorder="1" applyAlignment="1">
      <alignment horizontal="left" vertical="center"/>
    </xf>
    <xf numFmtId="0" fontId="17" fillId="6" borderId="15" xfId="0" applyFont="1" applyFill="1" applyBorder="1" applyAlignment="1">
      <alignment horizontal="left" vertical="center"/>
    </xf>
    <xf numFmtId="0" fontId="17" fillId="0" borderId="15" xfId="4" applyFont="1" applyBorder="1" applyAlignment="1">
      <alignment horizontal="left"/>
    </xf>
    <xf numFmtId="0" fontId="17" fillId="6" borderId="15" xfId="4" applyFont="1" applyFill="1" applyBorder="1" applyAlignment="1">
      <alignment horizontal="left"/>
    </xf>
    <xf numFmtId="0" fontId="18" fillId="6" borderId="5" xfId="4" applyFont="1" applyFill="1" applyBorder="1" applyAlignment="1">
      <alignment horizontal="left" vertical="center" wrapText="1"/>
    </xf>
    <xf numFmtId="0" fontId="19" fillId="5" borderId="18" xfId="4" applyFont="1" applyFill="1" applyBorder="1" applyAlignment="1">
      <alignment horizontal="center" vertical="center"/>
    </xf>
    <xf numFmtId="0" fontId="17" fillId="0" borderId="20" xfId="0" applyFont="1" applyBorder="1" applyAlignment="1">
      <alignment horizontal="left" vertical="center"/>
    </xf>
    <xf numFmtId="0" fontId="19" fillId="5" borderId="13" xfId="4" applyFont="1" applyFill="1" applyBorder="1" applyAlignment="1">
      <alignment horizontal="center" vertical="center" wrapText="1"/>
    </xf>
    <xf numFmtId="0" fontId="14" fillId="0" borderId="24" xfId="4" applyFont="1" applyBorder="1" applyAlignment="1">
      <alignment horizontal="center"/>
    </xf>
    <xf numFmtId="0" fontId="17" fillId="6" borderId="21" xfId="0" applyFont="1" applyFill="1" applyBorder="1" applyAlignment="1">
      <alignment horizontal="left" vertical="center"/>
    </xf>
    <xf numFmtId="0" fontId="17" fillId="6" borderId="26" xfId="0" applyFont="1" applyFill="1" applyBorder="1" applyAlignment="1">
      <alignment horizontal="left" vertical="center"/>
    </xf>
    <xf numFmtId="0" fontId="17" fillId="6" borderId="27" xfId="0" applyFont="1" applyFill="1" applyBorder="1" applyAlignment="1">
      <alignment horizontal="left" vertical="center"/>
    </xf>
    <xf numFmtId="0" fontId="26" fillId="0" borderId="0" xfId="0" applyFont="1" applyAlignment="1">
      <alignment horizontal="center"/>
    </xf>
    <xf numFmtId="0" fontId="27" fillId="0" borderId="0" xfId="3" applyFont="1" applyAlignment="1">
      <alignment horizontal="center" wrapText="1"/>
    </xf>
    <xf numFmtId="0" fontId="24" fillId="0" borderId="0" xfId="0" applyFont="1" applyAlignment="1">
      <alignment horizontal="center"/>
    </xf>
    <xf numFmtId="0" fontId="31" fillId="8" borderId="9" xfId="0" applyFont="1" applyFill="1" applyBorder="1" applyAlignment="1">
      <alignment horizontal="center"/>
    </xf>
    <xf numFmtId="0" fontId="31" fillId="9" borderId="9" xfId="3" applyFont="1" applyFill="1" applyBorder="1" applyAlignment="1">
      <alignment horizontal="center" wrapText="1"/>
    </xf>
    <xf numFmtId="0" fontId="31" fillId="17" borderId="32" xfId="0" applyFont="1" applyFill="1" applyBorder="1" applyAlignment="1">
      <alignment horizontal="center" vertical="center"/>
    </xf>
    <xf numFmtId="0" fontId="37" fillId="17" borderId="9" xfId="0" applyFont="1" applyFill="1" applyBorder="1" applyAlignment="1">
      <alignment horizontal="left" vertical="center" indent="1"/>
    </xf>
    <xf numFmtId="0" fontId="31" fillId="17" borderId="9" xfId="0" applyFont="1" applyFill="1" applyBorder="1" applyAlignment="1">
      <alignment horizontal="left" vertical="center" indent="3"/>
    </xf>
    <xf numFmtId="0" fontId="0" fillId="0" borderId="9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horizontal="left" vertical="center"/>
    </xf>
    <xf numFmtId="0" fontId="31" fillId="18" borderId="32" xfId="0" applyFont="1" applyFill="1" applyBorder="1" applyAlignment="1">
      <alignment horizontal="center" vertical="center"/>
    </xf>
    <xf numFmtId="0" fontId="37" fillId="18" borderId="9" xfId="0" applyFont="1" applyFill="1" applyBorder="1" applyAlignment="1">
      <alignment horizontal="left" vertical="center" indent="1"/>
    </xf>
    <xf numFmtId="0" fontId="31" fillId="18" borderId="9" xfId="0" applyFont="1" applyFill="1" applyBorder="1" applyAlignment="1">
      <alignment horizontal="left" vertical="center" indent="3"/>
    </xf>
    <xf numFmtId="14" fontId="16" fillId="4" borderId="10" xfId="0" applyNumberFormat="1" applyFont="1" applyFill="1" applyBorder="1" applyAlignment="1">
      <alignment vertical="center" wrapText="1"/>
    </xf>
  </cellXfs>
  <cellStyles count="7">
    <cellStyle name="Millares 2" xfId="2" xr:uid="{00000000-0005-0000-0000-000006000000}"/>
    <cellStyle name="Normal" xfId="0" builtinId="0"/>
    <cellStyle name="Normal 2" xfId="3" xr:uid="{00000000-0005-0000-0000-000007000000}"/>
    <cellStyle name="Normal 2 2" xfId="4" xr:uid="{00000000-0005-0000-0000-000008000000}"/>
    <cellStyle name="Percent 2" xfId="5" xr:uid="{00000000-0005-0000-0000-000009000000}"/>
    <cellStyle name="Porcentaje" xfId="1" builtinId="5"/>
    <cellStyle name="Porcentaje 2 2" xfId="6" xr:uid="{00000000-0005-0000-0000-00000A000000}"/>
  </cellStyles>
  <dxfs count="5">
    <dxf>
      <font>
        <b/>
        <i val="0"/>
        <color rgb="FFFF0000"/>
      </font>
    </dxf>
    <dxf>
      <font>
        <b/>
        <i val="0"/>
        <color rgb="FFC55A1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ADB9CA"/>
      <rgbColor rgb="FF808080"/>
      <rgbColor rgb="FF9999FF"/>
      <rgbColor rgb="FF993366"/>
      <rgbColor rgb="FFFFF2CC"/>
      <rgbColor rgb="FFF2F2F2"/>
      <rgbColor rgb="FF660066"/>
      <rgbColor rgb="FFFF8080"/>
      <rgbColor rgb="FF046ECE"/>
      <rgbColor rgb="FFBDD7EE"/>
      <rgbColor rgb="FF000080"/>
      <rgbColor rgb="FFFF00FF"/>
      <rgbColor rgb="FFFFFF00"/>
      <rgbColor rgb="FF00FFFF"/>
      <rgbColor rgb="FF800080"/>
      <rgbColor rgb="FFC00000"/>
      <rgbColor rgb="FF2E75B6"/>
      <rgbColor rgb="FF0000FF"/>
      <rgbColor rgb="FF00CCFF"/>
      <rgbColor rgb="FFE7E6E6"/>
      <rgbColor rgb="FFE2F0D9"/>
      <rgbColor rgb="FFFBE5D6"/>
      <rgbColor rgb="FFACB8CA"/>
      <rgbColor rgb="FFE8E6E6"/>
      <rgbColor rgb="FFC5E0B4"/>
      <rgbColor rgb="FFFFC7CE"/>
      <rgbColor rgb="FF4472C4"/>
      <rgbColor rgb="FF66FF99"/>
      <rgbColor rgb="FF99CC00"/>
      <rgbColor rgb="FFFFCC00"/>
      <rgbColor rgb="FFFF9900"/>
      <rgbColor rgb="FFC55A11"/>
      <rgbColor rgb="FF44546A"/>
      <rgbColor rgb="FF969696"/>
      <rgbColor rgb="FF1F4E79"/>
      <rgbColor rgb="FF339966"/>
      <rgbColor rgb="FF003300"/>
      <rgbColor rgb="FF333300"/>
      <rgbColor rgb="FF993300"/>
      <rgbColor rgb="FF993366"/>
      <rgbColor rgb="FF113AA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65520</xdr:colOff>
      <xdr:row>19</xdr:row>
      <xdr:rowOff>37080</xdr:rowOff>
    </xdr:from>
    <xdr:to>
      <xdr:col>6</xdr:col>
      <xdr:colOff>173160</xdr:colOff>
      <xdr:row>21</xdr:row>
      <xdr:rowOff>168840</xdr:rowOff>
    </xdr:to>
    <xdr:pic>
      <xdr:nvPicPr>
        <xdr:cNvPr id="2" name="Imagen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40960" y="3367080"/>
          <a:ext cx="882720" cy="484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45360</xdr:colOff>
      <xdr:row>19</xdr:row>
      <xdr:rowOff>20520</xdr:rowOff>
    </xdr:from>
    <xdr:to>
      <xdr:col>15</xdr:col>
      <xdr:colOff>214200</xdr:colOff>
      <xdr:row>21</xdr:row>
      <xdr:rowOff>153720</xdr:rowOff>
    </xdr:to>
    <xdr:pic>
      <xdr:nvPicPr>
        <xdr:cNvPr id="3" name="Imagen 4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146760" y="3350520"/>
          <a:ext cx="944280" cy="48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241200</xdr:colOff>
      <xdr:row>19</xdr:row>
      <xdr:rowOff>43920</xdr:rowOff>
    </xdr:from>
    <xdr:to>
      <xdr:col>20</xdr:col>
      <xdr:colOff>2619</xdr:colOff>
      <xdr:row>21</xdr:row>
      <xdr:rowOff>156240</xdr:rowOff>
    </xdr:to>
    <xdr:pic>
      <xdr:nvPicPr>
        <xdr:cNvPr id="4" name="Imagen 4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376160" y="3373920"/>
          <a:ext cx="786240" cy="46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75960</xdr:colOff>
      <xdr:row>19</xdr:row>
      <xdr:rowOff>33120</xdr:rowOff>
    </xdr:from>
    <xdr:to>
      <xdr:col>24</xdr:col>
      <xdr:colOff>223560</xdr:colOff>
      <xdr:row>21</xdr:row>
      <xdr:rowOff>171000</xdr:rowOff>
    </xdr:to>
    <xdr:pic>
      <xdr:nvPicPr>
        <xdr:cNvPr id="5" name="Imagen 4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503320" y="3363120"/>
          <a:ext cx="923040" cy="4903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191520</xdr:colOff>
      <xdr:row>22</xdr:row>
      <xdr:rowOff>156240</xdr:rowOff>
    </xdr:from>
    <xdr:to>
      <xdr:col>9</xdr:col>
      <xdr:colOff>60120</xdr:colOff>
      <xdr:row>30</xdr:row>
      <xdr:rowOff>70200</xdr:rowOff>
    </xdr:to>
    <xdr:sp macro="" textlink="">
      <xdr:nvSpPr>
        <xdr:cNvPr id="6" name="Rectángulo: esquinas redondeadas 4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91520" y="4019760"/>
          <a:ext cx="2194560" cy="132156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9</xdr:col>
      <xdr:colOff>167400</xdr:colOff>
      <xdr:row>22</xdr:row>
      <xdr:rowOff>155160</xdr:rowOff>
    </xdr:from>
    <xdr:to>
      <xdr:col>18</xdr:col>
      <xdr:colOff>36000</xdr:colOff>
      <xdr:row>30</xdr:row>
      <xdr:rowOff>69120</xdr:rowOff>
    </xdr:to>
    <xdr:sp macro="" textlink="">
      <xdr:nvSpPr>
        <xdr:cNvPr id="7" name="Rectángulo: esquinas redondeadas 4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493360" y="4018680"/>
          <a:ext cx="2194560" cy="132156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18</xdr:col>
      <xdr:colOff>141120</xdr:colOff>
      <xdr:row>22</xdr:row>
      <xdr:rowOff>158760</xdr:rowOff>
    </xdr:from>
    <xdr:to>
      <xdr:col>27</xdr:col>
      <xdr:colOff>9720</xdr:colOff>
      <xdr:row>30</xdr:row>
      <xdr:rowOff>72720</xdr:rowOff>
    </xdr:to>
    <xdr:sp macro="" textlink="">
      <xdr:nvSpPr>
        <xdr:cNvPr id="8" name="Rectángulo: esquinas redondeadas 5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793040" y="4022280"/>
          <a:ext cx="2194560" cy="132156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27</xdr:col>
      <xdr:colOff>156600</xdr:colOff>
      <xdr:row>22</xdr:row>
      <xdr:rowOff>162720</xdr:rowOff>
    </xdr:from>
    <xdr:to>
      <xdr:col>35</xdr:col>
      <xdr:colOff>258120</xdr:colOff>
      <xdr:row>30</xdr:row>
      <xdr:rowOff>76680</xdr:rowOff>
    </xdr:to>
    <xdr:sp macro="" textlink="">
      <xdr:nvSpPr>
        <xdr:cNvPr id="9" name="Rectángulo: esquinas redondeadas 5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134480" y="4026240"/>
          <a:ext cx="2169360" cy="132156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25</xdr:col>
      <xdr:colOff>235080</xdr:colOff>
      <xdr:row>19</xdr:row>
      <xdr:rowOff>44280</xdr:rowOff>
    </xdr:from>
    <xdr:to>
      <xdr:col>28</xdr:col>
      <xdr:colOff>246240</xdr:colOff>
      <xdr:row>21</xdr:row>
      <xdr:rowOff>156600</xdr:rowOff>
    </xdr:to>
    <xdr:pic>
      <xdr:nvPicPr>
        <xdr:cNvPr id="10" name="Imagen 5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696360" y="3374280"/>
          <a:ext cx="786240" cy="46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241200</xdr:colOff>
      <xdr:row>19</xdr:row>
      <xdr:rowOff>44280</xdr:rowOff>
    </xdr:from>
    <xdr:to>
      <xdr:col>11</xdr:col>
      <xdr:colOff>2618</xdr:colOff>
      <xdr:row>21</xdr:row>
      <xdr:rowOff>156600</xdr:rowOff>
    </xdr:to>
    <xdr:pic>
      <xdr:nvPicPr>
        <xdr:cNvPr id="11" name="Imagen 5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050200" y="3374280"/>
          <a:ext cx="786240" cy="4647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46</xdr:col>
      <xdr:colOff>216720</xdr:colOff>
      <xdr:row>24</xdr:row>
      <xdr:rowOff>164520</xdr:rowOff>
    </xdr:from>
    <xdr:to>
      <xdr:col>69</xdr:col>
      <xdr:colOff>6480</xdr:colOff>
      <xdr:row>30</xdr:row>
      <xdr:rowOff>83160</xdr:rowOff>
    </xdr:to>
    <xdr:sp macro="" textlink="">
      <xdr:nvSpPr>
        <xdr:cNvPr id="12" name="Rectángulo: esquinas redondeadas 5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2105360" y="4380120"/>
          <a:ext cx="5733720" cy="97416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35</xdr:col>
      <xdr:colOff>51840</xdr:colOff>
      <xdr:row>19</xdr:row>
      <xdr:rowOff>45000</xdr:rowOff>
    </xdr:from>
    <xdr:to>
      <xdr:col>38</xdr:col>
      <xdr:colOff>63000</xdr:colOff>
      <xdr:row>21</xdr:row>
      <xdr:rowOff>160200</xdr:rowOff>
    </xdr:to>
    <xdr:pic>
      <xdr:nvPicPr>
        <xdr:cNvPr id="13" name="Imagen 5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9097560" y="3375000"/>
          <a:ext cx="786240" cy="4676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36</xdr:col>
      <xdr:colOff>165240</xdr:colOff>
      <xdr:row>22</xdr:row>
      <xdr:rowOff>165240</xdr:rowOff>
    </xdr:from>
    <xdr:to>
      <xdr:col>45</xdr:col>
      <xdr:colOff>33840</xdr:colOff>
      <xdr:row>30</xdr:row>
      <xdr:rowOff>79200</xdr:rowOff>
    </xdr:to>
    <xdr:sp macro="" textlink="">
      <xdr:nvSpPr>
        <xdr:cNvPr id="14" name="Rectángulo: esquinas redondeadas 5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469440" y="4028760"/>
          <a:ext cx="2194560" cy="132156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29</xdr:col>
      <xdr:colOff>165240</xdr:colOff>
      <xdr:row>19</xdr:row>
      <xdr:rowOff>25560</xdr:rowOff>
    </xdr:from>
    <xdr:to>
      <xdr:col>34</xdr:col>
      <xdr:colOff>5498</xdr:colOff>
      <xdr:row>21</xdr:row>
      <xdr:rowOff>172020</xdr:rowOff>
    </xdr:to>
    <xdr:pic>
      <xdr:nvPicPr>
        <xdr:cNvPr id="15" name="Imagen 5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7660080" y="3355560"/>
          <a:ext cx="1123560" cy="5065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6</xdr:col>
      <xdr:colOff>113040</xdr:colOff>
      <xdr:row>11</xdr:row>
      <xdr:rowOff>9720</xdr:rowOff>
    </xdr:from>
    <xdr:to>
      <xdr:col>13</xdr:col>
      <xdr:colOff>32400</xdr:colOff>
      <xdr:row>15</xdr:row>
      <xdr:rowOff>97920</xdr:rowOff>
    </xdr:to>
    <xdr:sp macro="" textlink="">
      <xdr:nvSpPr>
        <xdr:cNvPr id="16" name="Rectángulo: esquinas redondeadas 307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663560" y="1937520"/>
          <a:ext cx="1728720" cy="78156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90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13</xdr:col>
      <xdr:colOff>102240</xdr:colOff>
      <xdr:row>11</xdr:row>
      <xdr:rowOff>9720</xdr:rowOff>
    </xdr:from>
    <xdr:to>
      <xdr:col>19</xdr:col>
      <xdr:colOff>82800</xdr:colOff>
      <xdr:row>15</xdr:row>
      <xdr:rowOff>97920</xdr:rowOff>
    </xdr:to>
    <xdr:sp macro="" textlink="">
      <xdr:nvSpPr>
        <xdr:cNvPr id="17" name="Rectángulo: esquinas redondeadas 307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462120" y="1937520"/>
          <a:ext cx="1531080" cy="78156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90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6</xdr:col>
      <xdr:colOff>205920</xdr:colOff>
      <xdr:row>12</xdr:row>
      <xdr:rowOff>34200</xdr:rowOff>
    </xdr:from>
    <xdr:to>
      <xdr:col>8</xdr:col>
      <xdr:colOff>53640</xdr:colOff>
      <xdr:row>14</xdr:row>
      <xdr:rowOff>38160</xdr:rowOff>
    </xdr:to>
    <xdr:pic>
      <xdr:nvPicPr>
        <xdr:cNvPr id="18" name="Imagen 307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1756440" y="2137320"/>
          <a:ext cx="364680" cy="350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22320</xdr:colOff>
      <xdr:row>12</xdr:row>
      <xdr:rowOff>58320</xdr:rowOff>
    </xdr:from>
    <xdr:to>
      <xdr:col>15</xdr:col>
      <xdr:colOff>89280</xdr:colOff>
      <xdr:row>14</xdr:row>
      <xdr:rowOff>69480</xdr:rowOff>
    </xdr:to>
    <xdr:pic>
      <xdr:nvPicPr>
        <xdr:cNvPr id="19" name="Imagen 307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3640680" y="2161440"/>
          <a:ext cx="325440" cy="3578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19</xdr:col>
      <xdr:colOff>148680</xdr:colOff>
      <xdr:row>11</xdr:row>
      <xdr:rowOff>11880</xdr:rowOff>
    </xdr:from>
    <xdr:to>
      <xdr:col>25</xdr:col>
      <xdr:colOff>89280</xdr:colOff>
      <xdr:row>15</xdr:row>
      <xdr:rowOff>94320</xdr:rowOff>
    </xdr:to>
    <xdr:sp macro="" textlink="">
      <xdr:nvSpPr>
        <xdr:cNvPr id="20" name="Rectángulo: esquinas redondeadas 307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059080" y="1939680"/>
          <a:ext cx="1491480" cy="77580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90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35</xdr:col>
      <xdr:colOff>20880</xdr:colOff>
      <xdr:row>11</xdr:row>
      <xdr:rowOff>5400</xdr:rowOff>
    </xdr:from>
    <xdr:to>
      <xdr:col>46</xdr:col>
      <xdr:colOff>74520</xdr:colOff>
      <xdr:row>15</xdr:row>
      <xdr:rowOff>103680</xdr:rowOff>
    </xdr:to>
    <xdr:grpSp>
      <xdr:nvGrpSpPr>
        <xdr:cNvPr id="21" name="Grupo 308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8749244" y="1986600"/>
          <a:ext cx="2796840" cy="791007"/>
          <a:chOff x="9066600" y="1933200"/>
          <a:chExt cx="2896560" cy="791640"/>
        </a:xfrm>
      </xdr:grpSpPr>
      <xdr:sp macro="" textlink="">
        <xdr:nvSpPr>
          <xdr:cNvPr id="22" name="Rectángulo: esquinas redondeadas 3083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9066600" y="1933200"/>
            <a:ext cx="2896560" cy="791640"/>
          </a:xfrm>
          <a:prstGeom prst="roundRect">
            <a:avLst>
              <a:gd name="adj" fmla="val 16667"/>
            </a:avLst>
          </a:prstGeom>
          <a:noFill/>
          <a:ln w="12700">
            <a:solidFill>
              <a:srgbClr val="E7E6E6">
                <a:lumMod val="90000"/>
              </a:srgbClr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pic>
        <xdr:nvPicPr>
          <xdr:cNvPr id="23" name="Imagen 3084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/>
        </xdr:nvPicPr>
        <xdr:blipFill>
          <a:blip xmlns:r="http://schemas.openxmlformats.org/officeDocument/2006/relationships" r:embed="rId8"/>
          <a:srcRect t="17739" b="25545"/>
          <a:stretch/>
        </xdr:blipFill>
        <xdr:spPr>
          <a:xfrm>
            <a:off x="9296640" y="2244960"/>
            <a:ext cx="635040" cy="299160"/>
          </a:xfrm>
          <a:prstGeom prst="rect">
            <a:avLst/>
          </a:prstGeom>
          <a:noFill/>
          <a:ln w="0">
            <a:noFill/>
          </a:ln>
        </xdr:spPr>
      </xdr:pic>
      <xdr:sp macro="" textlink="">
        <xdr:nvSpPr>
          <xdr:cNvPr id="24" name="CuadroTexto 3085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9159120" y="1958400"/>
            <a:ext cx="2720880" cy="284760"/>
          </a:xfrm>
          <a:prstGeom prst="rect">
            <a:avLst/>
          </a:prstGeom>
          <a:noFill/>
          <a:ln w="9525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lstStyle/>
          <a:p>
            <a:pPr algn="ctr">
              <a:lnSpc>
                <a:spcPct val="100000"/>
              </a:lnSpc>
            </a:pPr>
            <a:r>
              <a:rPr lang="es-CL" sz="1000" b="1" u="none" strike="noStrike">
                <a:solidFill>
                  <a:srgbClr val="046ECE"/>
                </a:solidFill>
                <a:effectLst/>
                <a:uFillTx/>
                <a:latin typeface="SeNGOU UI"/>
              </a:rPr>
              <a:t>EMBARQUES PELLET FEED</a:t>
            </a:r>
            <a:endParaRPr lang="es-CL" sz="10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>
    <xdr:from>
      <xdr:col>25</xdr:col>
      <xdr:colOff>90360</xdr:colOff>
      <xdr:row>11</xdr:row>
      <xdr:rowOff>9720</xdr:rowOff>
    </xdr:from>
    <xdr:to>
      <xdr:col>34</xdr:col>
      <xdr:colOff>164160</xdr:colOff>
      <xdr:row>15</xdr:row>
      <xdr:rowOff>97920</xdr:rowOff>
    </xdr:to>
    <xdr:grpSp>
      <xdr:nvGrpSpPr>
        <xdr:cNvPr id="25" name="Grupo 31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6324905" y="1990920"/>
          <a:ext cx="2318237" cy="780927"/>
          <a:chOff x="6551640" y="1937520"/>
          <a:chExt cx="2399760" cy="781560"/>
        </a:xfrm>
      </xdr:grpSpPr>
      <xdr:sp macro="" textlink="">
        <xdr:nvSpPr>
          <xdr:cNvPr id="26" name="Rectángulo: esquinas redondeadas 3080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6630480" y="1937520"/>
            <a:ext cx="2320920" cy="781560"/>
          </a:xfrm>
          <a:prstGeom prst="roundRect">
            <a:avLst>
              <a:gd name="adj" fmla="val 16667"/>
            </a:avLst>
          </a:prstGeom>
          <a:noFill/>
          <a:ln w="12700">
            <a:solidFill>
              <a:srgbClr val="E7E6E6">
                <a:lumMod val="90000"/>
              </a:srgbClr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pic>
        <xdr:nvPicPr>
          <xdr:cNvPr id="27" name="Imagen 3081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/>
        </xdr:nvPicPr>
        <xdr:blipFill>
          <a:blip xmlns:r="http://schemas.openxmlformats.org/officeDocument/2006/relationships" r:embed="rId9"/>
          <a:stretch/>
        </xdr:blipFill>
        <xdr:spPr>
          <a:xfrm>
            <a:off x="6967440" y="2286000"/>
            <a:ext cx="348480" cy="304200"/>
          </a:xfrm>
          <a:prstGeom prst="rect">
            <a:avLst/>
          </a:prstGeom>
          <a:noFill/>
          <a:ln w="0">
            <a:noFill/>
          </a:ln>
        </xdr:spPr>
      </xdr:pic>
      <xdr:sp macro="" textlink="">
        <xdr:nvSpPr>
          <xdr:cNvPr id="28" name="CuadroTexto 3090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551640" y="1941480"/>
            <a:ext cx="2358000" cy="421920"/>
          </a:xfrm>
          <a:prstGeom prst="rect">
            <a:avLst/>
          </a:prstGeom>
          <a:noFill/>
          <a:ln w="9525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lstStyle/>
          <a:p>
            <a:pPr algn="ctr">
              <a:lnSpc>
                <a:spcPct val="100000"/>
              </a:lnSpc>
            </a:pPr>
            <a:r>
              <a:rPr lang="es-CL" sz="1000" b="1" u="none" strike="noStrike">
                <a:solidFill>
                  <a:srgbClr val="046ECE"/>
                </a:solidFill>
                <a:effectLst/>
                <a:uFillTx/>
                <a:latin typeface="SeNGOU UI"/>
              </a:rPr>
              <a:t>PRODUCCIÓN TOTAL</a:t>
            </a:r>
            <a:endParaRPr lang="es-CL" sz="1000" b="0" u="none" strike="noStrike">
              <a:effectLst/>
              <a:uFillTx/>
              <a:latin typeface="Times New Roman"/>
            </a:endParaRPr>
          </a:p>
          <a:p>
            <a:pPr algn="ctr">
              <a:lnSpc>
                <a:spcPct val="100000"/>
              </a:lnSpc>
            </a:pPr>
            <a:r>
              <a:rPr lang="es-CL" sz="700" b="1" u="none" strike="noStrike">
                <a:solidFill>
                  <a:srgbClr val="046ECE"/>
                </a:solidFill>
                <a:effectLst/>
                <a:uFillTx/>
                <a:latin typeface="SeNGOU UI"/>
              </a:rPr>
              <a:t>(Pellet Feed + Preconcentrado Ventas + Sinter Feed)</a:t>
            </a:r>
            <a:endParaRPr lang="es-CL" sz="7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>
    <xdr:from>
      <xdr:col>21</xdr:col>
      <xdr:colOff>51840</xdr:colOff>
      <xdr:row>11</xdr:row>
      <xdr:rowOff>127440</xdr:rowOff>
    </xdr:from>
    <xdr:to>
      <xdr:col>25</xdr:col>
      <xdr:colOff>84600</xdr:colOff>
      <xdr:row>14</xdr:row>
      <xdr:rowOff>11520</xdr:rowOff>
    </xdr:to>
    <xdr:sp macro="" textlink="">
      <xdr:nvSpPr>
        <xdr:cNvPr id="29" name="CuadroTexto 309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479200" y="2055240"/>
          <a:ext cx="1066680" cy="40608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s-CL" sz="1000" b="1" u="none" strike="noStrike">
              <a:solidFill>
                <a:srgbClr val="046ECE"/>
              </a:solidFill>
              <a:effectLst/>
              <a:uFillTx/>
              <a:latin typeface="SeNGOU UI"/>
            </a:rPr>
            <a:t>RECUPERACIÓN METALÚRGICA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0</xdr:colOff>
      <xdr:row>12</xdr:row>
      <xdr:rowOff>15480</xdr:rowOff>
    </xdr:from>
    <xdr:to>
      <xdr:col>21</xdr:col>
      <xdr:colOff>132120</xdr:colOff>
      <xdr:row>14</xdr:row>
      <xdr:rowOff>72720</xdr:rowOff>
    </xdr:to>
    <xdr:pic>
      <xdr:nvPicPr>
        <xdr:cNvPr id="30" name="Imagen 309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5168880" y="2118600"/>
          <a:ext cx="390600" cy="4039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15</xdr:col>
      <xdr:colOff>53280</xdr:colOff>
      <xdr:row>11</xdr:row>
      <xdr:rowOff>114840</xdr:rowOff>
    </xdr:from>
    <xdr:to>
      <xdr:col>19</xdr:col>
      <xdr:colOff>85680</xdr:colOff>
      <xdr:row>13</xdr:row>
      <xdr:rowOff>167760</xdr:rowOff>
    </xdr:to>
    <xdr:sp macro="" textlink="">
      <xdr:nvSpPr>
        <xdr:cNvPr id="31" name="CuadroTexto 309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930120" y="2042640"/>
          <a:ext cx="1065960" cy="4035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s-CL" sz="1000" b="1" u="none" strike="noStrike">
              <a:solidFill>
                <a:srgbClr val="046ECE"/>
              </a:solidFill>
              <a:effectLst/>
              <a:uFillTx/>
              <a:latin typeface="SeNGOU UI"/>
            </a:rPr>
            <a:t>RECUPERACIÓN EN PESO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243000</xdr:colOff>
      <xdr:row>12</xdr:row>
      <xdr:rowOff>10440</xdr:rowOff>
    </xdr:from>
    <xdr:to>
      <xdr:col>11</xdr:col>
      <xdr:colOff>251280</xdr:colOff>
      <xdr:row>13</xdr:row>
      <xdr:rowOff>76320</xdr:rowOff>
    </xdr:to>
    <xdr:sp macro="" textlink="">
      <xdr:nvSpPr>
        <xdr:cNvPr id="32" name="CuadroTexto 309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310480" y="2113560"/>
          <a:ext cx="783720" cy="24120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s-CL" sz="1000" b="1" u="none" strike="noStrike">
              <a:solidFill>
                <a:srgbClr val="046ECE"/>
              </a:solidFill>
              <a:effectLst/>
              <a:uFillTx/>
              <a:latin typeface="SeNGOU UI"/>
            </a:rPr>
            <a:t>LEY FeT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0</xdr:colOff>
      <xdr:row>10</xdr:row>
      <xdr:rowOff>169920</xdr:rowOff>
    </xdr:from>
    <xdr:to>
      <xdr:col>6</xdr:col>
      <xdr:colOff>58320</xdr:colOff>
      <xdr:row>15</xdr:row>
      <xdr:rowOff>93960</xdr:rowOff>
    </xdr:to>
    <xdr:grpSp>
      <xdr:nvGrpSpPr>
        <xdr:cNvPr id="33" name="Grupo 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0" y="1971011"/>
          <a:ext cx="1554611" cy="796876"/>
          <a:chOff x="0" y="1922400"/>
          <a:chExt cx="1608840" cy="792720"/>
        </a:xfrm>
      </xdr:grpSpPr>
      <xdr:sp macro="" textlink="">
        <xdr:nvSpPr>
          <xdr:cNvPr id="34" name="Rectángulo: esquinas redondeadas 3071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0" y="1956600"/>
            <a:ext cx="1608840" cy="758520"/>
          </a:xfrm>
          <a:prstGeom prst="roundRect">
            <a:avLst>
              <a:gd name="adj" fmla="val 16667"/>
            </a:avLst>
          </a:prstGeom>
          <a:noFill/>
          <a:ln w="12700">
            <a:solidFill>
              <a:srgbClr val="E7E6E6">
                <a:lumMod val="90000"/>
              </a:srgbClr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pic>
        <xdr:nvPicPr>
          <xdr:cNvPr id="35" name="Imagen 3076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/>
        </xdr:nvPicPr>
        <xdr:blipFill>
          <a:blip xmlns:r="http://schemas.openxmlformats.org/officeDocument/2006/relationships" r:embed="rId11"/>
          <a:stretch/>
        </xdr:blipFill>
        <xdr:spPr>
          <a:xfrm>
            <a:off x="77760" y="2150640"/>
            <a:ext cx="446400" cy="392760"/>
          </a:xfrm>
          <a:prstGeom prst="rect">
            <a:avLst/>
          </a:prstGeom>
          <a:noFill/>
          <a:ln w="0">
            <a:noFill/>
          </a:ln>
        </xdr:spPr>
      </xdr:pic>
      <xdr:sp macro="" textlink="">
        <xdr:nvSpPr>
          <xdr:cNvPr id="36" name="CuadroTexto 309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505080" y="1922400"/>
            <a:ext cx="1013040" cy="570960"/>
          </a:xfrm>
          <a:prstGeom prst="rect">
            <a:avLst/>
          </a:prstGeom>
          <a:noFill/>
          <a:ln w="9525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lstStyle/>
          <a:p>
            <a:pPr algn="ctr">
              <a:lnSpc>
                <a:spcPct val="100000"/>
              </a:lnSpc>
            </a:pPr>
            <a:r>
              <a:rPr lang="es-CL" sz="1000" b="1" u="none" strike="noStrike">
                <a:solidFill>
                  <a:srgbClr val="046ECE"/>
                </a:solidFill>
                <a:effectLst/>
                <a:uFillTx/>
                <a:latin typeface="SeNGOU UI"/>
              </a:rPr>
              <a:t>PRODUCCIÓN PELLET FEED TMH</a:t>
            </a:r>
            <a:endParaRPr lang="es-CL" sz="10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79</xdr:col>
      <xdr:colOff>0</xdr:colOff>
      <xdr:row>11</xdr:row>
      <xdr:rowOff>0</xdr:rowOff>
    </xdr:from>
    <xdr:to>
      <xdr:col>80</xdr:col>
      <xdr:colOff>46080</xdr:colOff>
      <xdr:row>12</xdr:row>
      <xdr:rowOff>129240</xdr:rowOff>
    </xdr:to>
    <xdr:sp macro="" textlink="">
      <xdr:nvSpPr>
        <xdr:cNvPr id="37" name="AutoShape 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20417040" y="1927800"/>
          <a:ext cx="304560" cy="3045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39</xdr:col>
      <xdr:colOff>107640</xdr:colOff>
      <xdr:row>19</xdr:row>
      <xdr:rowOff>2160</xdr:rowOff>
    </xdr:from>
    <xdr:to>
      <xdr:col>42</xdr:col>
      <xdr:colOff>236160</xdr:colOff>
      <xdr:row>22</xdr:row>
      <xdr:rowOff>49320</xdr:rowOff>
    </xdr:to>
    <xdr:pic>
      <xdr:nvPicPr>
        <xdr:cNvPr id="38" name="Imagen 310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10186920" y="3332160"/>
          <a:ext cx="90396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57</xdr:col>
      <xdr:colOff>149040</xdr:colOff>
      <xdr:row>11</xdr:row>
      <xdr:rowOff>11160</xdr:rowOff>
    </xdr:from>
    <xdr:to>
      <xdr:col>69</xdr:col>
      <xdr:colOff>220320</xdr:colOff>
      <xdr:row>15</xdr:row>
      <xdr:rowOff>102960</xdr:rowOff>
    </xdr:to>
    <xdr:grpSp>
      <xdr:nvGrpSpPr>
        <xdr:cNvPr id="39" name="Grupo 365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14363804" y="1992360"/>
          <a:ext cx="3063861" cy="784527"/>
          <a:chOff x="14880240" y="1938960"/>
          <a:chExt cx="3172680" cy="785160"/>
        </a:xfrm>
      </xdr:grpSpPr>
      <xdr:sp macro="" textlink="">
        <xdr:nvSpPr>
          <xdr:cNvPr id="40" name="CuadroTexto 308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4936400" y="1943280"/>
            <a:ext cx="3116520" cy="287280"/>
          </a:xfrm>
          <a:prstGeom prst="rect">
            <a:avLst/>
          </a:prstGeom>
          <a:noFill/>
          <a:ln w="9525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lstStyle/>
          <a:p>
            <a:pPr>
              <a:lnSpc>
                <a:spcPct val="100000"/>
              </a:lnSpc>
            </a:pPr>
            <a:r>
              <a:rPr lang="es-CL" sz="1000" b="1" u="none" strike="noStrike">
                <a:solidFill>
                  <a:srgbClr val="046ECE"/>
                </a:solidFill>
                <a:effectLst/>
                <a:uFillTx/>
                <a:latin typeface="SeNGOU UI"/>
              </a:rPr>
              <a:t>EMBARQUES PRECONCENTRADO VENTAS</a:t>
            </a:r>
            <a:endParaRPr lang="es-CL" sz="1000" b="0" u="none" strike="noStrike">
              <a:effectLst/>
              <a:uFillTx/>
              <a:latin typeface="Times New Roman"/>
            </a:endParaRPr>
          </a:p>
        </xdr:txBody>
      </xdr:sp>
      <xdr:sp macro="" textlink="">
        <xdr:nvSpPr>
          <xdr:cNvPr id="41" name="Rectángulo: esquinas redondeadas 5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14880240" y="1938960"/>
            <a:ext cx="3122280" cy="785160"/>
          </a:xfrm>
          <a:prstGeom prst="roundRect">
            <a:avLst>
              <a:gd name="adj" fmla="val 16667"/>
            </a:avLst>
          </a:prstGeom>
          <a:noFill/>
          <a:ln w="12700">
            <a:solidFill>
              <a:srgbClr val="E7E6E6">
                <a:lumMod val="90000"/>
              </a:srgbClr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pic>
        <xdr:nvPicPr>
          <xdr:cNvPr id="42" name="Imagen 6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PicPr/>
        </xdr:nvPicPr>
        <xdr:blipFill>
          <a:blip xmlns:r="http://schemas.openxmlformats.org/officeDocument/2006/relationships" r:embed="rId8"/>
          <a:srcRect t="17739" b="25545"/>
          <a:stretch/>
        </xdr:blipFill>
        <xdr:spPr>
          <a:xfrm>
            <a:off x="15171120" y="2260800"/>
            <a:ext cx="617760" cy="29736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>
    <xdr:from>
      <xdr:col>46</xdr:col>
      <xdr:colOff>125640</xdr:colOff>
      <xdr:row>11</xdr:row>
      <xdr:rowOff>4320</xdr:rowOff>
    </xdr:from>
    <xdr:to>
      <xdr:col>57</xdr:col>
      <xdr:colOff>99360</xdr:colOff>
      <xdr:row>15</xdr:row>
      <xdr:rowOff>106560</xdr:rowOff>
    </xdr:to>
    <xdr:grpSp>
      <xdr:nvGrpSpPr>
        <xdr:cNvPr id="43" name="Grupo 365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11597204" y="1985520"/>
          <a:ext cx="2716920" cy="794967"/>
          <a:chOff x="12014280" y="1932120"/>
          <a:chExt cx="2816280" cy="795600"/>
        </a:xfrm>
      </xdr:grpSpPr>
      <xdr:sp macro="" textlink="">
        <xdr:nvSpPr>
          <xdr:cNvPr id="44" name="Rectángulo: esquinas redondeadas 3087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12014280" y="1932120"/>
            <a:ext cx="2816280" cy="795600"/>
          </a:xfrm>
          <a:prstGeom prst="roundRect">
            <a:avLst>
              <a:gd name="adj" fmla="val 16667"/>
            </a:avLst>
          </a:prstGeom>
          <a:noFill/>
          <a:ln w="12700">
            <a:solidFill>
              <a:srgbClr val="E7E6E6">
                <a:lumMod val="90000"/>
              </a:srgbClr>
            </a:solidFill>
            <a:miter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pic>
        <xdr:nvPicPr>
          <xdr:cNvPr id="45" name="Imagen 308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PicPr/>
        </xdr:nvPicPr>
        <xdr:blipFill>
          <a:blip xmlns:r="http://schemas.openxmlformats.org/officeDocument/2006/relationships" r:embed="rId8"/>
          <a:srcRect t="17739" b="25545"/>
          <a:stretch/>
        </xdr:blipFill>
        <xdr:spPr>
          <a:xfrm>
            <a:off x="12203640" y="2271240"/>
            <a:ext cx="619200" cy="291960"/>
          </a:xfrm>
          <a:prstGeom prst="rect">
            <a:avLst/>
          </a:prstGeom>
          <a:noFill/>
          <a:ln w="0">
            <a:noFill/>
          </a:ln>
        </xdr:spPr>
      </xdr:pic>
      <xdr:sp macro="" textlink="">
        <xdr:nvSpPr>
          <xdr:cNvPr id="46" name="CuadroTexto 7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2186000" y="1947240"/>
            <a:ext cx="2487600" cy="280080"/>
          </a:xfrm>
          <a:prstGeom prst="rect">
            <a:avLst/>
          </a:prstGeom>
          <a:noFill/>
          <a:ln w="9525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  <xdr:txBody>
          <a:bodyPr vertOverflow="clip" horzOverflow="clip" lIns="90000" tIns="45000" rIns="90000" bIns="45000" anchor="t">
            <a:noAutofit/>
          </a:bodyPr>
          <a:lstStyle/>
          <a:p>
            <a:pPr>
              <a:lnSpc>
                <a:spcPct val="100000"/>
              </a:lnSpc>
            </a:pPr>
            <a:r>
              <a:rPr lang="es-CL" sz="1000" b="1" u="none" strike="noStrike">
                <a:solidFill>
                  <a:srgbClr val="046ECE"/>
                </a:solidFill>
                <a:effectLst/>
                <a:uFillTx/>
                <a:latin typeface="SeNGOU UI"/>
              </a:rPr>
              <a:t>EMBARQUES SINTER FEED</a:t>
            </a:r>
            <a:endParaRPr lang="es-CL" sz="10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>
    <xdr:from>
      <xdr:col>17</xdr:col>
      <xdr:colOff>246960</xdr:colOff>
      <xdr:row>34</xdr:row>
      <xdr:rowOff>142560</xdr:rowOff>
    </xdr:from>
    <xdr:to>
      <xdr:col>30</xdr:col>
      <xdr:colOff>4320</xdr:colOff>
      <xdr:row>41</xdr:row>
      <xdr:rowOff>32040</xdr:rowOff>
    </xdr:to>
    <xdr:sp macro="" textlink="">
      <xdr:nvSpPr>
        <xdr:cNvPr id="47" name="Rectángulo: esquinas redondeadas 330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640400" y="6114600"/>
          <a:ext cx="3117240" cy="111636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0</xdr:col>
      <xdr:colOff>204840</xdr:colOff>
      <xdr:row>34</xdr:row>
      <xdr:rowOff>142560</xdr:rowOff>
    </xdr:from>
    <xdr:to>
      <xdr:col>17</xdr:col>
      <xdr:colOff>6840</xdr:colOff>
      <xdr:row>41</xdr:row>
      <xdr:rowOff>69480</xdr:rowOff>
    </xdr:to>
    <xdr:sp macro="" textlink="">
      <xdr:nvSpPr>
        <xdr:cNvPr id="48" name="Rectángulo: esquinas redondeadas 331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4840" y="6114600"/>
          <a:ext cx="4195440" cy="115380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30</xdr:col>
      <xdr:colOff>190440</xdr:colOff>
      <xdr:row>34</xdr:row>
      <xdr:rowOff>154080</xdr:rowOff>
    </xdr:from>
    <xdr:to>
      <xdr:col>48</xdr:col>
      <xdr:colOff>258120</xdr:colOff>
      <xdr:row>44</xdr:row>
      <xdr:rowOff>90360</xdr:rowOff>
    </xdr:to>
    <xdr:sp macro="" textlink="">
      <xdr:nvSpPr>
        <xdr:cNvPr id="49" name="Rectángulo: esquinas redondeadas 332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7943760" y="6126120"/>
          <a:ext cx="4719600" cy="168912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49</xdr:col>
      <xdr:colOff>176400</xdr:colOff>
      <xdr:row>34</xdr:row>
      <xdr:rowOff>151920</xdr:rowOff>
    </xdr:from>
    <xdr:to>
      <xdr:col>68</xdr:col>
      <xdr:colOff>258120</xdr:colOff>
      <xdr:row>41</xdr:row>
      <xdr:rowOff>36000</xdr:rowOff>
    </xdr:to>
    <xdr:sp macro="" textlink="">
      <xdr:nvSpPr>
        <xdr:cNvPr id="50" name="Rectángulo: esquinas redondeadas 332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2840120" y="6123960"/>
          <a:ext cx="4992120" cy="111096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171360</xdr:colOff>
      <xdr:row>47</xdr:row>
      <xdr:rowOff>160920</xdr:rowOff>
    </xdr:from>
    <xdr:to>
      <xdr:col>23</xdr:col>
      <xdr:colOff>137880</xdr:colOff>
      <xdr:row>53</xdr:row>
      <xdr:rowOff>171000</xdr:rowOff>
    </xdr:to>
    <xdr:sp macro="" textlink="">
      <xdr:nvSpPr>
        <xdr:cNvPr id="51" name="Rectángulo: esquinas redondeadas 364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946800" y="8418960"/>
          <a:ext cx="5135400" cy="106164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46</xdr:col>
      <xdr:colOff>127800</xdr:colOff>
      <xdr:row>48</xdr:row>
      <xdr:rowOff>1800</xdr:rowOff>
    </xdr:from>
    <xdr:to>
      <xdr:col>66</xdr:col>
      <xdr:colOff>103680</xdr:colOff>
      <xdr:row>53</xdr:row>
      <xdr:rowOff>161280</xdr:rowOff>
    </xdr:to>
    <xdr:sp macro="" textlink="">
      <xdr:nvSpPr>
        <xdr:cNvPr id="52" name="Rectángulo: esquinas redondeadas 3648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2016440" y="8435160"/>
          <a:ext cx="5144760" cy="103572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0</xdr:col>
      <xdr:colOff>0</xdr:colOff>
      <xdr:row>0</xdr:row>
      <xdr:rowOff>0</xdr:rowOff>
    </xdr:from>
    <xdr:to>
      <xdr:col>67</xdr:col>
      <xdr:colOff>182880</xdr:colOff>
      <xdr:row>9</xdr:row>
      <xdr:rowOff>153360</xdr:rowOff>
    </xdr:to>
    <xdr:pic>
      <xdr:nvPicPr>
        <xdr:cNvPr id="53" name="Imagen 4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0" y="0"/>
          <a:ext cx="17498520" cy="17308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5</xdr:col>
      <xdr:colOff>34200</xdr:colOff>
      <xdr:row>5</xdr:row>
      <xdr:rowOff>92160</xdr:rowOff>
    </xdr:from>
    <xdr:to>
      <xdr:col>11</xdr:col>
      <xdr:colOff>25200</xdr:colOff>
      <xdr:row>7</xdr:row>
      <xdr:rowOff>30240</xdr:rowOff>
    </xdr:to>
    <xdr:sp macro="" textlink="">
      <xdr:nvSpPr>
        <xdr:cNvPr id="54" name="CuadroTexto 9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326600" y="968400"/>
          <a:ext cx="1541520" cy="2887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2000" u="none" strike="noStrike">
              <a:solidFill>
                <a:schemeClr val="bg1"/>
              </a:solidFill>
              <a:effectLst/>
              <a:uFillTx/>
            </a:rPr>
            <a:t>14-09-2026</a:t>
          </a:r>
        </a:p>
      </xdr:txBody>
    </xdr:sp>
    <xdr:clientData/>
  </xdr:twoCellAnchor>
  <xdr:twoCellAnchor>
    <xdr:from>
      <xdr:col>24</xdr:col>
      <xdr:colOff>161640</xdr:colOff>
      <xdr:row>47</xdr:row>
      <xdr:rowOff>156600</xdr:rowOff>
    </xdr:from>
    <xdr:to>
      <xdr:col>44</xdr:col>
      <xdr:colOff>115200</xdr:colOff>
      <xdr:row>54</xdr:row>
      <xdr:rowOff>11160</xdr:rowOff>
    </xdr:to>
    <xdr:sp macro="" textlink="">
      <xdr:nvSpPr>
        <xdr:cNvPr id="55" name="Rectángulo: esquinas redondeadas 314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6364440" y="8414640"/>
          <a:ext cx="5122440" cy="1081440"/>
        </a:xfrm>
        <a:prstGeom prst="roundRect">
          <a:avLst>
            <a:gd name="adj" fmla="val 16667"/>
          </a:avLst>
        </a:prstGeom>
        <a:noFill/>
        <a:ln w="12700">
          <a:solidFill>
            <a:srgbClr val="E7E6E6">
              <a:lumMod val="75000"/>
            </a:srgbClr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47</xdr:col>
      <xdr:colOff>126720</xdr:colOff>
      <xdr:row>17</xdr:row>
      <xdr:rowOff>46800</xdr:rowOff>
    </xdr:from>
    <xdr:to>
      <xdr:col>67</xdr:col>
      <xdr:colOff>194040</xdr:colOff>
      <xdr:row>24</xdr:row>
      <xdr:rowOff>162360</xdr:rowOff>
    </xdr:to>
    <xdr:pic>
      <xdr:nvPicPr>
        <xdr:cNvPr id="56" name="Imagen 314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12273480" y="3024360"/>
          <a:ext cx="5236200" cy="1353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57</xdr:row>
      <xdr:rowOff>9360</xdr:rowOff>
    </xdr:from>
    <xdr:to>
      <xdr:col>68</xdr:col>
      <xdr:colOff>245520</xdr:colOff>
      <xdr:row>61</xdr:row>
      <xdr:rowOff>170280</xdr:rowOff>
    </xdr:to>
    <xdr:pic>
      <xdr:nvPicPr>
        <xdr:cNvPr id="57" name="Imagen 314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0" y="10020240"/>
          <a:ext cx="17819640" cy="8636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47</xdr:col>
      <xdr:colOff>11520</xdr:colOff>
      <xdr:row>58</xdr:row>
      <xdr:rowOff>127080</xdr:rowOff>
    </xdr:from>
    <xdr:to>
      <xdr:col>53</xdr:col>
      <xdr:colOff>2520</xdr:colOff>
      <xdr:row>60</xdr:row>
      <xdr:rowOff>65160</xdr:rowOff>
    </xdr:to>
    <xdr:sp macro="" textlink="Report!P5">
      <xdr:nvSpPr>
        <xdr:cNvPr id="58" name="CuadroTexto 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12158280" y="10313280"/>
          <a:ext cx="1541880" cy="2941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en-US" sz="2000" b="1" u="none" strike="noStrike">
              <a:solidFill>
                <a:schemeClr val="lt1"/>
              </a:solidFill>
              <a:effectLst/>
              <a:uFillTx/>
              <a:latin typeface="Calibri"/>
              <a:ea typeface="Calibri"/>
            </a:rPr>
            <a:t>01-09-2026</a:t>
          </a:r>
          <a:endParaRPr lang="es-CL" sz="2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372600</xdr:colOff>
      <xdr:row>2</xdr:row>
      <xdr:rowOff>57600</xdr:rowOff>
    </xdr:from>
    <xdr:to>
      <xdr:col>4</xdr:col>
      <xdr:colOff>439560</xdr:colOff>
      <xdr:row>4</xdr:row>
      <xdr:rowOff>186120</xdr:rowOff>
    </xdr:to>
    <xdr:pic>
      <xdr:nvPicPr>
        <xdr:cNvPr id="58" name="Imagen 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16760" y="438480"/>
          <a:ext cx="943920" cy="509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622800</xdr:colOff>
      <xdr:row>7</xdr:row>
      <xdr:rowOff>92880</xdr:rowOff>
    </xdr:from>
    <xdr:to>
      <xdr:col>7</xdr:col>
      <xdr:colOff>222480</xdr:colOff>
      <xdr:row>9</xdr:row>
      <xdr:rowOff>105480</xdr:rowOff>
    </xdr:to>
    <xdr:sp macro="" textlink="">
      <xdr:nvSpPr>
        <xdr:cNvPr id="59" name="Rectángulo 2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/>
      </xdr:nvSpPr>
      <xdr:spPr>
        <a:xfrm>
          <a:off x="4093200" y="1426320"/>
          <a:ext cx="1049760" cy="393840"/>
        </a:xfrm>
        <a:prstGeom prst="rect">
          <a:avLst/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CH- CM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147960</xdr:colOff>
      <xdr:row>10</xdr:row>
      <xdr:rowOff>102960</xdr:rowOff>
    </xdr:from>
    <xdr:to>
      <xdr:col>9</xdr:col>
      <xdr:colOff>646560</xdr:colOff>
      <xdr:row>12</xdr:row>
      <xdr:rowOff>99000</xdr:rowOff>
    </xdr:to>
    <xdr:sp macro="" textlink="">
      <xdr:nvSpPr>
        <xdr:cNvPr id="60" name="Triángulo isósceles 3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/>
      </xdr:nvSpPr>
      <xdr:spPr>
        <a:xfrm>
          <a:off x="7032600" y="2008080"/>
          <a:ext cx="498600" cy="37692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8</xdr:col>
      <xdr:colOff>343440</xdr:colOff>
      <xdr:row>8</xdr:row>
      <xdr:rowOff>179640</xdr:rowOff>
    </xdr:from>
    <xdr:to>
      <xdr:col>9</xdr:col>
      <xdr:colOff>378000</xdr:colOff>
      <xdr:row>11</xdr:row>
      <xdr:rowOff>67320</xdr:rowOff>
    </xdr:to>
    <xdr:sp macro="" textlink="">
      <xdr:nvSpPr>
        <xdr:cNvPr id="61" name="Rectángulo 4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/>
      </xdr:nvSpPr>
      <xdr:spPr>
        <a:xfrm>
          <a:off x="6328800" y="1703520"/>
          <a:ext cx="933840" cy="4593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Stock Intermedio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12</xdr:col>
      <xdr:colOff>609480</xdr:colOff>
      <xdr:row>16</xdr:row>
      <xdr:rowOff>147600</xdr:rowOff>
    </xdr:from>
    <xdr:to>
      <xdr:col>14</xdr:col>
      <xdr:colOff>93960</xdr:colOff>
      <xdr:row>18</xdr:row>
      <xdr:rowOff>92880</xdr:rowOff>
    </xdr:to>
    <xdr:sp macro="" textlink="">
      <xdr:nvSpPr>
        <xdr:cNvPr id="62" name="Rectángulo 5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/>
      </xdr:nvSpPr>
      <xdr:spPr>
        <a:xfrm>
          <a:off x="10133280" y="3195720"/>
          <a:ext cx="1191960" cy="3261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Stock Pre concentrado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640800</xdr:colOff>
      <xdr:row>33</xdr:row>
      <xdr:rowOff>129240</xdr:rowOff>
    </xdr:from>
    <xdr:to>
      <xdr:col>10</xdr:col>
      <xdr:colOff>408240</xdr:colOff>
      <xdr:row>36</xdr:row>
      <xdr:rowOff>65520</xdr:rowOff>
    </xdr:to>
    <xdr:sp macro="" textlink="">
      <xdr:nvSpPr>
        <xdr:cNvPr id="63" name="Triángulo isósceles 8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/>
      </xdr:nvSpPr>
      <xdr:spPr>
        <a:xfrm>
          <a:off x="7525440" y="6415920"/>
          <a:ext cx="644400" cy="50760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8</xdr:col>
      <xdr:colOff>550440</xdr:colOff>
      <xdr:row>42</xdr:row>
      <xdr:rowOff>87840</xdr:rowOff>
    </xdr:from>
    <xdr:to>
      <xdr:col>10</xdr:col>
      <xdr:colOff>75240</xdr:colOff>
      <xdr:row>45</xdr:row>
      <xdr:rowOff>23040</xdr:rowOff>
    </xdr:to>
    <xdr:sp macro="" textlink="">
      <xdr:nvSpPr>
        <xdr:cNvPr id="64" name="Rectángulo 9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/>
      </xdr:nvSpPr>
      <xdr:spPr>
        <a:xfrm>
          <a:off x="6535800" y="8088840"/>
          <a:ext cx="1301040" cy="5068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Stock Pellet Feed ROM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355320</xdr:colOff>
      <xdr:row>52</xdr:row>
      <xdr:rowOff>122400</xdr:rowOff>
    </xdr:from>
    <xdr:to>
      <xdr:col>10</xdr:col>
      <xdr:colOff>716760</xdr:colOff>
      <xdr:row>54</xdr:row>
      <xdr:rowOff>135360</xdr:rowOff>
    </xdr:to>
    <xdr:sp macro="" textlink="">
      <xdr:nvSpPr>
        <xdr:cNvPr id="65" name="Rectángulo 10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/>
      </xdr:nvSpPr>
      <xdr:spPr>
        <a:xfrm>
          <a:off x="7239960" y="10028520"/>
          <a:ext cx="1238400" cy="393840"/>
        </a:xfrm>
        <a:prstGeom prst="rect">
          <a:avLst/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Nodo Transporte Pellet Feed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12</xdr:col>
      <xdr:colOff>48960</xdr:colOff>
      <xdr:row>60</xdr:row>
      <xdr:rowOff>123120</xdr:rowOff>
    </xdr:from>
    <xdr:to>
      <xdr:col>12</xdr:col>
      <xdr:colOff>624240</xdr:colOff>
      <xdr:row>63</xdr:row>
      <xdr:rowOff>58680</xdr:rowOff>
    </xdr:to>
    <xdr:sp macro="" textlink="">
      <xdr:nvSpPr>
        <xdr:cNvPr id="66" name="Triángulo isósceles 11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/>
      </xdr:nvSpPr>
      <xdr:spPr>
        <a:xfrm>
          <a:off x="9572760" y="11553120"/>
          <a:ext cx="575280" cy="50724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12</xdr:col>
      <xdr:colOff>410760</xdr:colOff>
      <xdr:row>61</xdr:row>
      <xdr:rowOff>22680</xdr:rowOff>
    </xdr:from>
    <xdr:to>
      <xdr:col>13</xdr:col>
      <xdr:colOff>697680</xdr:colOff>
      <xdr:row>63</xdr:row>
      <xdr:rowOff>5040</xdr:rowOff>
    </xdr:to>
    <xdr:sp macro="" textlink="">
      <xdr:nvSpPr>
        <xdr:cNvPr id="67" name="Rectángulo 12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/>
      </xdr:nvSpPr>
      <xdr:spPr>
        <a:xfrm>
          <a:off x="9934560" y="11643120"/>
          <a:ext cx="1046880" cy="3636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Stock P. Feed Guayacan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12</xdr:col>
      <xdr:colOff>78840</xdr:colOff>
      <xdr:row>67</xdr:row>
      <xdr:rowOff>135720</xdr:rowOff>
    </xdr:from>
    <xdr:to>
      <xdr:col>12</xdr:col>
      <xdr:colOff>654120</xdr:colOff>
      <xdr:row>70</xdr:row>
      <xdr:rowOff>68040</xdr:rowOff>
    </xdr:to>
    <xdr:sp macro="" textlink="">
      <xdr:nvSpPr>
        <xdr:cNvPr id="68" name="Triángulo isósceles 13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/>
      </xdr:nvSpPr>
      <xdr:spPr>
        <a:xfrm>
          <a:off x="9602640" y="12899160"/>
          <a:ext cx="575280" cy="50400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12</xdr:col>
      <xdr:colOff>173520</xdr:colOff>
      <xdr:row>65</xdr:row>
      <xdr:rowOff>160560</xdr:rowOff>
    </xdr:from>
    <xdr:to>
      <xdr:col>13</xdr:col>
      <xdr:colOff>460440</xdr:colOff>
      <xdr:row>68</xdr:row>
      <xdr:rowOff>92880</xdr:rowOff>
    </xdr:to>
    <xdr:sp macro="" textlink="">
      <xdr:nvSpPr>
        <xdr:cNvPr id="69" name="Rectángulo 14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/>
      </xdr:nvSpPr>
      <xdr:spPr>
        <a:xfrm>
          <a:off x="9697320" y="12543120"/>
          <a:ext cx="1046880" cy="5036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Stock Finos Guayacan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15</xdr:col>
      <xdr:colOff>46080</xdr:colOff>
      <xdr:row>60</xdr:row>
      <xdr:rowOff>93240</xdr:rowOff>
    </xdr:from>
    <xdr:to>
      <xdr:col>17</xdr:col>
      <xdr:colOff>489960</xdr:colOff>
      <xdr:row>63</xdr:row>
      <xdr:rowOff>28800</xdr:rowOff>
    </xdr:to>
    <xdr:sp macro="" textlink="">
      <xdr:nvSpPr>
        <xdr:cNvPr id="70" name="Rectángulo 15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/>
      </xdr:nvSpPr>
      <xdr:spPr>
        <a:xfrm>
          <a:off x="12092040" y="11523240"/>
          <a:ext cx="2510280" cy="5072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Embarque Pellet Feed Guayacan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15</xdr:col>
      <xdr:colOff>98280</xdr:colOff>
      <xdr:row>64</xdr:row>
      <xdr:rowOff>64800</xdr:rowOff>
    </xdr:from>
    <xdr:to>
      <xdr:col>18</xdr:col>
      <xdr:colOff>109800</xdr:colOff>
      <xdr:row>66</xdr:row>
      <xdr:rowOff>190800</xdr:rowOff>
    </xdr:to>
    <xdr:sp macro="" textlink="">
      <xdr:nvSpPr>
        <xdr:cNvPr id="71" name="Rectángulo 16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>
          <a:off x="12144240" y="12256920"/>
          <a:ext cx="2892600" cy="5068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Transporte Camiones P Feed Guayacan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15</xdr:col>
      <xdr:colOff>46080</xdr:colOff>
      <xdr:row>68</xdr:row>
      <xdr:rowOff>23760</xdr:rowOff>
    </xdr:from>
    <xdr:to>
      <xdr:col>17</xdr:col>
      <xdr:colOff>489960</xdr:colOff>
      <xdr:row>70</xdr:row>
      <xdr:rowOff>150120</xdr:rowOff>
    </xdr:to>
    <xdr:sp macro="" textlink="">
      <xdr:nvSpPr>
        <xdr:cNvPr id="72" name="Rectángulo 17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/>
      </xdr:nvSpPr>
      <xdr:spPr>
        <a:xfrm>
          <a:off x="12092040" y="12977640"/>
          <a:ext cx="2510280" cy="5076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Embarque SF MLC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12</xdr:col>
      <xdr:colOff>191880</xdr:colOff>
      <xdr:row>79</xdr:row>
      <xdr:rowOff>168840</xdr:rowOff>
    </xdr:from>
    <xdr:to>
      <xdr:col>13</xdr:col>
      <xdr:colOff>5040</xdr:colOff>
      <xdr:row>82</xdr:row>
      <xdr:rowOff>104760</xdr:rowOff>
    </xdr:to>
    <xdr:sp macro="" textlink="">
      <xdr:nvSpPr>
        <xdr:cNvPr id="73" name="Triángulo isósceles 18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/>
      </xdr:nvSpPr>
      <xdr:spPr>
        <a:xfrm>
          <a:off x="9715680" y="15218280"/>
          <a:ext cx="573120" cy="50760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12</xdr:col>
      <xdr:colOff>543600</xdr:colOff>
      <xdr:row>80</xdr:row>
      <xdr:rowOff>36360</xdr:rowOff>
    </xdr:from>
    <xdr:to>
      <xdr:col>13</xdr:col>
      <xdr:colOff>728640</xdr:colOff>
      <xdr:row>82</xdr:row>
      <xdr:rowOff>162360</xdr:rowOff>
    </xdr:to>
    <xdr:sp macro="" textlink="">
      <xdr:nvSpPr>
        <xdr:cNvPr id="74" name="Rectángulo 19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/>
      </xdr:nvSpPr>
      <xdr:spPr>
        <a:xfrm>
          <a:off x="10067400" y="15276240"/>
          <a:ext cx="945000" cy="5072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Stock Finos Granzas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15</xdr:col>
      <xdr:colOff>158760</xdr:colOff>
      <xdr:row>80</xdr:row>
      <xdr:rowOff>76680</xdr:rowOff>
    </xdr:from>
    <xdr:to>
      <xdr:col>17</xdr:col>
      <xdr:colOff>602640</xdr:colOff>
      <xdr:row>83</xdr:row>
      <xdr:rowOff>12240</xdr:rowOff>
    </xdr:to>
    <xdr:sp macro="" textlink="">
      <xdr:nvSpPr>
        <xdr:cNvPr id="75" name="Rectángulo 20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/>
      </xdr:nvSpPr>
      <xdr:spPr>
        <a:xfrm>
          <a:off x="12204720" y="15316560"/>
          <a:ext cx="2510280" cy="5072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Embarque Granzas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7</xdr:col>
      <xdr:colOff>357480</xdr:colOff>
      <xdr:row>21</xdr:row>
      <xdr:rowOff>117000</xdr:rowOff>
    </xdr:from>
    <xdr:to>
      <xdr:col>7</xdr:col>
      <xdr:colOff>576720</xdr:colOff>
      <xdr:row>22</xdr:row>
      <xdr:rowOff>117360</xdr:rowOff>
    </xdr:to>
    <xdr:sp macro="" textlink="">
      <xdr:nvSpPr>
        <xdr:cNvPr id="76" name="Elipse 22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/>
      </xdr:nvSpPr>
      <xdr:spPr>
        <a:xfrm>
          <a:off x="5277960" y="4117680"/>
          <a:ext cx="219240" cy="190800"/>
        </a:xfrm>
        <a:prstGeom prst="ellipse">
          <a:avLst/>
        </a:prstGeom>
        <a:solidFill>
          <a:srgbClr val="203864"/>
        </a:solidFill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12</xdr:col>
      <xdr:colOff>338040</xdr:colOff>
      <xdr:row>60</xdr:row>
      <xdr:rowOff>123120</xdr:rowOff>
    </xdr:from>
    <xdr:to>
      <xdr:col>15</xdr:col>
      <xdr:colOff>45720</xdr:colOff>
      <xdr:row>61</xdr:row>
      <xdr:rowOff>160920</xdr:rowOff>
    </xdr:to>
    <xdr:cxnSp macro="">
      <xdr:nvCxnSpPr>
        <xdr:cNvPr id="77" name="Conector: angular 23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CxnSpPr/>
      </xdr:nvCxnSpPr>
      <xdr:spPr>
        <a:xfrm>
          <a:off x="9861840" y="11553120"/>
          <a:ext cx="2230200" cy="22860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4</xdr:col>
      <xdr:colOff>91800</xdr:colOff>
      <xdr:row>58</xdr:row>
      <xdr:rowOff>65520</xdr:rowOff>
    </xdr:from>
    <xdr:to>
      <xdr:col>5</xdr:col>
      <xdr:colOff>642240</xdr:colOff>
      <xdr:row>60</xdr:row>
      <xdr:rowOff>90000</xdr:rowOff>
    </xdr:to>
    <xdr:sp macro="" textlink="">
      <xdr:nvSpPr>
        <xdr:cNvPr id="78" name="Rectángulo 24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/>
      </xdr:nvSpPr>
      <xdr:spPr>
        <a:xfrm>
          <a:off x="2747520" y="11114640"/>
          <a:ext cx="1365120" cy="4053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Otros Materiales a Preconcentradio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4</xdr:col>
      <xdr:colOff>3240</xdr:colOff>
      <xdr:row>3</xdr:row>
      <xdr:rowOff>95040</xdr:rowOff>
    </xdr:from>
    <xdr:to>
      <xdr:col>6</xdr:col>
      <xdr:colOff>11880</xdr:colOff>
      <xdr:row>4</xdr:row>
      <xdr:rowOff>141840</xdr:rowOff>
    </xdr:to>
    <xdr:sp macro="" textlink="">
      <xdr:nvSpPr>
        <xdr:cNvPr id="79" name="Rectángulo 25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/>
      </xdr:nvSpPr>
      <xdr:spPr>
        <a:xfrm>
          <a:off x="2658960" y="666720"/>
          <a:ext cx="1513440" cy="2372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Alimentación Chancado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5</xdr:col>
      <xdr:colOff>9000</xdr:colOff>
      <xdr:row>4</xdr:row>
      <xdr:rowOff>144720</xdr:rowOff>
    </xdr:from>
    <xdr:to>
      <xdr:col>6</xdr:col>
      <xdr:colOff>424080</xdr:colOff>
      <xdr:row>7</xdr:row>
      <xdr:rowOff>92520</xdr:rowOff>
    </xdr:to>
    <xdr:cxnSp macro="">
      <xdr:nvCxnSpPr>
        <xdr:cNvPr id="80" name="Conector: angular 26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CxnSpPr/>
      </xdr:nvCxnSpPr>
      <xdr:spPr>
        <a:xfrm>
          <a:off x="3479400" y="906840"/>
          <a:ext cx="1105560" cy="51948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4</xdr:col>
      <xdr:colOff>106920</xdr:colOff>
      <xdr:row>11</xdr:row>
      <xdr:rowOff>163080</xdr:rowOff>
    </xdr:from>
    <xdr:to>
      <xdr:col>4</xdr:col>
      <xdr:colOff>682200</xdr:colOff>
      <xdr:row>14</xdr:row>
      <xdr:rowOff>99000</xdr:rowOff>
    </xdr:to>
    <xdr:sp macro="" textlink="">
      <xdr:nvSpPr>
        <xdr:cNvPr id="81" name="Triángulo isósceles 27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/>
      </xdr:nvSpPr>
      <xdr:spPr>
        <a:xfrm>
          <a:off x="2762640" y="2258640"/>
          <a:ext cx="575280" cy="50724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190440</xdr:colOff>
      <xdr:row>13</xdr:row>
      <xdr:rowOff>151920</xdr:rowOff>
    </xdr:from>
    <xdr:to>
      <xdr:col>4</xdr:col>
      <xdr:colOff>161280</xdr:colOff>
      <xdr:row>15</xdr:row>
      <xdr:rowOff>76320</xdr:rowOff>
    </xdr:to>
    <xdr:sp macro="" textlink="">
      <xdr:nvSpPr>
        <xdr:cNvPr id="82" name="Rectángulo 28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/>
      </xdr:nvSpPr>
      <xdr:spPr>
        <a:xfrm>
          <a:off x="2031480" y="2628360"/>
          <a:ext cx="785520" cy="3056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Stock ML Pleito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</xdr:col>
      <xdr:colOff>111960</xdr:colOff>
      <xdr:row>11</xdr:row>
      <xdr:rowOff>61560</xdr:rowOff>
    </xdr:from>
    <xdr:to>
      <xdr:col>1</xdr:col>
      <xdr:colOff>668880</xdr:colOff>
      <xdr:row>12</xdr:row>
      <xdr:rowOff>175680</xdr:rowOff>
    </xdr:to>
    <xdr:sp macro="" textlink="">
      <xdr:nvSpPr>
        <xdr:cNvPr id="83" name="Rectángulo 29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/>
      </xdr:nvSpPr>
      <xdr:spPr>
        <a:xfrm>
          <a:off x="323280" y="2157120"/>
          <a:ext cx="556920" cy="3045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ML Pleito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</xdr:col>
      <xdr:colOff>426240</xdr:colOff>
      <xdr:row>13</xdr:row>
      <xdr:rowOff>38160</xdr:rowOff>
    </xdr:from>
    <xdr:to>
      <xdr:col>4</xdr:col>
      <xdr:colOff>251640</xdr:colOff>
      <xdr:row>14</xdr:row>
      <xdr:rowOff>21600</xdr:rowOff>
    </xdr:to>
    <xdr:cxnSp macro="">
      <xdr:nvCxnSpPr>
        <xdr:cNvPr id="84" name="Conector: angular 30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CxnSpPr/>
      </xdr:nvCxnSpPr>
      <xdr:spPr>
        <a:xfrm flipV="1">
          <a:off x="637560" y="2514600"/>
          <a:ext cx="2270160" cy="174240"/>
        </a:xfrm>
        <a:prstGeom prst="bentConnector3">
          <a:avLst>
            <a:gd name="adj1" fmla="val 50007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4</xdr:col>
      <xdr:colOff>540720</xdr:colOff>
      <xdr:row>8</xdr:row>
      <xdr:rowOff>100800</xdr:rowOff>
    </xdr:from>
    <xdr:to>
      <xdr:col>5</xdr:col>
      <xdr:colOff>622440</xdr:colOff>
      <xdr:row>13</xdr:row>
      <xdr:rowOff>40680</xdr:rowOff>
    </xdr:to>
    <xdr:cxnSp macro="">
      <xdr:nvCxnSpPr>
        <xdr:cNvPr id="85" name="Conector: angular 31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CxnSpPr/>
      </xdr:nvCxnSpPr>
      <xdr:spPr>
        <a:xfrm flipV="1">
          <a:off x="3196440" y="1624680"/>
          <a:ext cx="896760" cy="89280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2</xdr:col>
      <xdr:colOff>179280</xdr:colOff>
      <xdr:row>19</xdr:row>
      <xdr:rowOff>720</xdr:rowOff>
    </xdr:from>
    <xdr:to>
      <xdr:col>4</xdr:col>
      <xdr:colOff>121320</xdr:colOff>
      <xdr:row>20</xdr:row>
      <xdr:rowOff>101160</xdr:rowOff>
    </xdr:to>
    <xdr:sp macro="" textlink="">
      <xdr:nvSpPr>
        <xdr:cNvPr id="86" name="Rectángulo 32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/>
      </xdr:nvSpPr>
      <xdr:spPr>
        <a:xfrm>
          <a:off x="1205280" y="3620160"/>
          <a:ext cx="1571760" cy="2908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Otros Materiales a Stock Intermedio desde Pleito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4</xdr:col>
      <xdr:colOff>124200</xdr:colOff>
      <xdr:row>11</xdr:row>
      <xdr:rowOff>99360</xdr:rowOff>
    </xdr:from>
    <xdr:to>
      <xdr:col>9</xdr:col>
      <xdr:colOff>273240</xdr:colOff>
      <xdr:row>19</xdr:row>
      <xdr:rowOff>147960</xdr:rowOff>
    </xdr:to>
    <xdr:cxnSp macro="">
      <xdr:nvCxnSpPr>
        <xdr:cNvPr id="87" name="Conector: angular 33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CxnSpPr/>
      </xdr:nvCxnSpPr>
      <xdr:spPr>
        <a:xfrm flipV="1">
          <a:off x="2779920" y="2194920"/>
          <a:ext cx="4378320" cy="1572840"/>
        </a:xfrm>
        <a:prstGeom prst="bentConnector3">
          <a:avLst>
            <a:gd name="adj1" fmla="val 50004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7</xdr:col>
      <xdr:colOff>225360</xdr:colOff>
      <xdr:row>8</xdr:row>
      <xdr:rowOff>100800</xdr:rowOff>
    </xdr:from>
    <xdr:to>
      <xdr:col>9</xdr:col>
      <xdr:colOff>398880</xdr:colOff>
      <xdr:row>10</xdr:row>
      <xdr:rowOff>102960</xdr:rowOff>
    </xdr:to>
    <xdr:cxnSp macro="">
      <xdr:nvCxnSpPr>
        <xdr:cNvPr id="88" name="Conector: angular 34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CxnSpPr/>
      </xdr:nvCxnSpPr>
      <xdr:spPr>
        <a:xfrm>
          <a:off x="5145840" y="1624680"/>
          <a:ext cx="2138040" cy="38376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6</xdr:col>
      <xdr:colOff>410760</xdr:colOff>
      <xdr:row>9</xdr:row>
      <xdr:rowOff>108360</xdr:rowOff>
    </xdr:from>
    <xdr:to>
      <xdr:col>6</xdr:col>
      <xdr:colOff>424080</xdr:colOff>
      <xdr:row>12</xdr:row>
      <xdr:rowOff>100800</xdr:rowOff>
    </xdr:to>
    <xdr:cxnSp macro="">
      <xdr:nvCxnSpPr>
        <xdr:cNvPr id="89" name="Conector recto de flecha 35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CxnSpPr/>
      </xdr:nvCxnSpPr>
      <xdr:spPr>
        <a:xfrm flipH="1">
          <a:off x="4571280" y="1823040"/>
          <a:ext cx="13680" cy="564120"/>
        </a:xfrm>
        <a:prstGeom prst="straightConnector1">
          <a:avLst/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5</xdr:col>
      <xdr:colOff>598680</xdr:colOff>
      <xdr:row>12</xdr:row>
      <xdr:rowOff>95040</xdr:rowOff>
    </xdr:from>
    <xdr:to>
      <xdr:col>6</xdr:col>
      <xdr:colOff>712080</xdr:colOff>
      <xdr:row>13</xdr:row>
      <xdr:rowOff>110520</xdr:rowOff>
    </xdr:to>
    <xdr:sp macro="" textlink="">
      <xdr:nvSpPr>
        <xdr:cNvPr id="90" name="Rectángulo 36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>
          <a:off x="4069080" y="2381040"/>
          <a:ext cx="803520" cy="2059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RECHAZOS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524160</xdr:colOff>
      <xdr:row>8</xdr:row>
      <xdr:rowOff>2160</xdr:rowOff>
    </xdr:from>
    <xdr:to>
      <xdr:col>13</xdr:col>
      <xdr:colOff>735840</xdr:colOff>
      <xdr:row>11</xdr:row>
      <xdr:rowOff>99360</xdr:rowOff>
    </xdr:to>
    <xdr:cxnSp macro="">
      <xdr:nvCxnSpPr>
        <xdr:cNvPr id="91" name="Conector: angular 37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CxnSpPr/>
      </xdr:nvCxnSpPr>
      <xdr:spPr>
        <a:xfrm flipV="1">
          <a:off x="7408800" y="1526040"/>
          <a:ext cx="3611160" cy="66924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4</xdr:col>
      <xdr:colOff>424800</xdr:colOff>
      <xdr:row>23</xdr:row>
      <xdr:rowOff>95040</xdr:rowOff>
    </xdr:from>
    <xdr:to>
      <xdr:col>5</xdr:col>
      <xdr:colOff>237960</xdr:colOff>
      <xdr:row>26</xdr:row>
      <xdr:rowOff>31320</xdr:rowOff>
    </xdr:to>
    <xdr:sp macro="" textlink="">
      <xdr:nvSpPr>
        <xdr:cNvPr id="92" name="Triángulo isósceles 38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>
          <a:off x="3080520" y="4476600"/>
          <a:ext cx="627840" cy="50760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538920</xdr:colOff>
      <xdr:row>25</xdr:row>
      <xdr:rowOff>111240</xdr:rowOff>
    </xdr:from>
    <xdr:to>
      <xdr:col>4</xdr:col>
      <xdr:colOff>713880</xdr:colOff>
      <xdr:row>27</xdr:row>
      <xdr:rowOff>36360</xdr:rowOff>
    </xdr:to>
    <xdr:sp macro="" textlink="">
      <xdr:nvSpPr>
        <xdr:cNvPr id="93" name="Rectángulo 39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/>
      </xdr:nvSpPr>
      <xdr:spPr>
        <a:xfrm>
          <a:off x="2379960" y="4873680"/>
          <a:ext cx="989640" cy="3063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Stock Emergencia 1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138600</xdr:colOff>
      <xdr:row>23</xdr:row>
      <xdr:rowOff>63000</xdr:rowOff>
    </xdr:from>
    <xdr:to>
      <xdr:col>4</xdr:col>
      <xdr:colOff>213840</xdr:colOff>
      <xdr:row>24</xdr:row>
      <xdr:rowOff>177120</xdr:rowOff>
    </xdr:to>
    <xdr:sp macro="" textlink="">
      <xdr:nvSpPr>
        <xdr:cNvPr id="94" name="Rectángulo 40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/>
      </xdr:nvSpPr>
      <xdr:spPr>
        <a:xfrm>
          <a:off x="1979640" y="4444560"/>
          <a:ext cx="889920" cy="3045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Finos Pleito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111960</xdr:colOff>
      <xdr:row>24</xdr:row>
      <xdr:rowOff>103320</xdr:rowOff>
    </xdr:from>
    <xdr:to>
      <xdr:col>4</xdr:col>
      <xdr:colOff>569160</xdr:colOff>
      <xdr:row>24</xdr:row>
      <xdr:rowOff>105840</xdr:rowOff>
    </xdr:to>
    <xdr:cxnSp macro="">
      <xdr:nvCxnSpPr>
        <xdr:cNvPr id="95" name="Conector: angular 41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CxnSpPr/>
      </xdr:nvCxnSpPr>
      <xdr:spPr>
        <a:xfrm flipV="1">
          <a:off x="1953000" y="4675320"/>
          <a:ext cx="1272240" cy="2880"/>
        </a:xfrm>
        <a:prstGeom prst="bentConnector3">
          <a:avLst>
            <a:gd name="adj1" fmla="val 50014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5</xdr:col>
      <xdr:colOff>96480</xdr:colOff>
      <xdr:row>22</xdr:row>
      <xdr:rowOff>120240</xdr:rowOff>
    </xdr:from>
    <xdr:to>
      <xdr:col>7</xdr:col>
      <xdr:colOff>468360</xdr:colOff>
      <xdr:row>24</xdr:row>
      <xdr:rowOff>157680</xdr:rowOff>
    </xdr:to>
    <xdr:cxnSp macro="">
      <xdr:nvCxnSpPr>
        <xdr:cNvPr id="96" name="Conector: angular 42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CxnSpPr/>
      </xdr:nvCxnSpPr>
      <xdr:spPr>
        <a:xfrm flipV="1">
          <a:off x="3566880" y="4311360"/>
          <a:ext cx="1822320" cy="418680"/>
        </a:xfrm>
        <a:prstGeom prst="bentConnector3">
          <a:avLst>
            <a:gd name="adj1" fmla="val 50009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5</xdr:col>
      <xdr:colOff>66600</xdr:colOff>
      <xdr:row>23</xdr:row>
      <xdr:rowOff>7920</xdr:rowOff>
    </xdr:from>
    <xdr:to>
      <xdr:col>6</xdr:col>
      <xdr:colOff>141840</xdr:colOff>
      <xdr:row>24</xdr:row>
      <xdr:rowOff>127440</xdr:rowOff>
    </xdr:to>
    <xdr:sp macro="" textlink="">
      <xdr:nvSpPr>
        <xdr:cNvPr id="97" name="Rectángulo 43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/>
      </xdr:nvSpPr>
      <xdr:spPr>
        <a:xfrm>
          <a:off x="3537000" y="4389480"/>
          <a:ext cx="765360" cy="3099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Alim Finos Pleito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4</xdr:col>
      <xdr:colOff>442440</xdr:colOff>
      <xdr:row>32</xdr:row>
      <xdr:rowOff>55080</xdr:rowOff>
    </xdr:from>
    <xdr:to>
      <xdr:col>5</xdr:col>
      <xdr:colOff>255600</xdr:colOff>
      <xdr:row>34</xdr:row>
      <xdr:rowOff>181080</xdr:rowOff>
    </xdr:to>
    <xdr:sp macro="" textlink="">
      <xdr:nvSpPr>
        <xdr:cNvPr id="98" name="Triángulo isósceles 44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/>
      </xdr:nvSpPr>
      <xdr:spPr>
        <a:xfrm>
          <a:off x="3098160" y="6150960"/>
          <a:ext cx="627840" cy="50724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496800</xdr:colOff>
      <xdr:row>34</xdr:row>
      <xdr:rowOff>169200</xdr:rowOff>
    </xdr:from>
    <xdr:to>
      <xdr:col>4</xdr:col>
      <xdr:colOff>668880</xdr:colOff>
      <xdr:row>37</xdr:row>
      <xdr:rowOff>16560</xdr:rowOff>
    </xdr:to>
    <xdr:sp macro="" textlink="">
      <xdr:nvSpPr>
        <xdr:cNvPr id="99" name="Rectángulo 45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/>
      </xdr:nvSpPr>
      <xdr:spPr>
        <a:xfrm>
          <a:off x="2337840" y="6646320"/>
          <a:ext cx="986760" cy="4186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Stock Emergencia 2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111960</xdr:colOff>
      <xdr:row>33</xdr:row>
      <xdr:rowOff>116280</xdr:rowOff>
    </xdr:from>
    <xdr:to>
      <xdr:col>4</xdr:col>
      <xdr:colOff>586800</xdr:colOff>
      <xdr:row>33</xdr:row>
      <xdr:rowOff>118440</xdr:rowOff>
    </xdr:to>
    <xdr:cxnSp macro="">
      <xdr:nvCxnSpPr>
        <xdr:cNvPr id="100" name="Conector: angular 46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CxnSpPr/>
      </xdr:nvCxnSpPr>
      <xdr:spPr>
        <a:xfrm flipV="1">
          <a:off x="1953000" y="6402960"/>
          <a:ext cx="1289880" cy="252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5</xdr:col>
      <xdr:colOff>114120</xdr:colOff>
      <xdr:row>22</xdr:row>
      <xdr:rowOff>120240</xdr:rowOff>
    </xdr:from>
    <xdr:to>
      <xdr:col>7</xdr:col>
      <xdr:colOff>468360</xdr:colOff>
      <xdr:row>33</xdr:row>
      <xdr:rowOff>116280</xdr:rowOff>
    </xdr:to>
    <xdr:cxnSp macro="">
      <xdr:nvCxnSpPr>
        <xdr:cNvPr id="101" name="Conector: angular 47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CxnSpPr/>
      </xdr:nvCxnSpPr>
      <xdr:spPr>
        <a:xfrm rot="5400000" flipH="1" flipV="1">
          <a:off x="3440880" y="4455000"/>
          <a:ext cx="2091960" cy="180468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4</xdr:col>
      <xdr:colOff>719280</xdr:colOff>
      <xdr:row>30</xdr:row>
      <xdr:rowOff>180000</xdr:rowOff>
    </xdr:from>
    <xdr:to>
      <xdr:col>6</xdr:col>
      <xdr:colOff>362880</xdr:colOff>
      <xdr:row>33</xdr:row>
      <xdr:rowOff>46440</xdr:rowOff>
    </xdr:to>
    <xdr:sp macro="" textlink="">
      <xdr:nvSpPr>
        <xdr:cNvPr id="102" name="Rectángulo 48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/>
      </xdr:nvSpPr>
      <xdr:spPr>
        <a:xfrm>
          <a:off x="3375000" y="5895000"/>
          <a:ext cx="1148400" cy="4381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P55  de Emergencia 2 a Pre-concentrado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272520</xdr:colOff>
      <xdr:row>32</xdr:row>
      <xdr:rowOff>55440</xdr:rowOff>
    </xdr:from>
    <xdr:to>
      <xdr:col>4</xdr:col>
      <xdr:colOff>9360</xdr:colOff>
      <xdr:row>33</xdr:row>
      <xdr:rowOff>72000</xdr:rowOff>
    </xdr:to>
    <xdr:sp macro="" textlink="">
      <xdr:nvSpPr>
        <xdr:cNvPr id="103" name="Rectángulo 49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/>
      </xdr:nvSpPr>
      <xdr:spPr>
        <a:xfrm>
          <a:off x="2113560" y="6151320"/>
          <a:ext cx="551520" cy="2073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P55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7</xdr:col>
      <xdr:colOff>468360</xdr:colOff>
      <xdr:row>17</xdr:row>
      <xdr:rowOff>34200</xdr:rowOff>
    </xdr:from>
    <xdr:to>
      <xdr:col>12</xdr:col>
      <xdr:colOff>295560</xdr:colOff>
      <xdr:row>21</xdr:row>
      <xdr:rowOff>116640</xdr:rowOff>
    </xdr:to>
    <xdr:cxnSp macro="">
      <xdr:nvCxnSpPr>
        <xdr:cNvPr id="104" name="Conector: angular 50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CxnSpPr/>
      </xdr:nvCxnSpPr>
      <xdr:spPr>
        <a:xfrm flipV="1">
          <a:off x="5388840" y="3272760"/>
          <a:ext cx="4430880" cy="844920"/>
        </a:xfrm>
        <a:prstGeom prst="bentConnector3">
          <a:avLst>
            <a:gd name="adj1" fmla="val 50004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4</xdr:col>
      <xdr:colOff>450360</xdr:colOff>
      <xdr:row>41</xdr:row>
      <xdr:rowOff>87120</xdr:rowOff>
    </xdr:from>
    <xdr:to>
      <xdr:col>5</xdr:col>
      <xdr:colOff>263520</xdr:colOff>
      <xdr:row>44</xdr:row>
      <xdr:rowOff>22680</xdr:rowOff>
    </xdr:to>
    <xdr:sp macro="" textlink="">
      <xdr:nvSpPr>
        <xdr:cNvPr id="105" name="Triángulo isósceles 51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/>
      </xdr:nvSpPr>
      <xdr:spPr>
        <a:xfrm>
          <a:off x="3106080" y="7897680"/>
          <a:ext cx="627840" cy="50688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</xdr:col>
      <xdr:colOff>467640</xdr:colOff>
      <xdr:row>44</xdr:row>
      <xdr:rowOff>40680</xdr:rowOff>
    </xdr:from>
    <xdr:to>
      <xdr:col>4</xdr:col>
      <xdr:colOff>743760</xdr:colOff>
      <xdr:row>45</xdr:row>
      <xdr:rowOff>144720</xdr:rowOff>
    </xdr:to>
    <xdr:sp macro="" textlink="">
      <xdr:nvSpPr>
        <xdr:cNvPr id="106" name="Rectángulo 5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/>
      </xdr:nvSpPr>
      <xdr:spPr>
        <a:xfrm>
          <a:off x="2308680" y="8422560"/>
          <a:ext cx="1090800" cy="2948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Stock Emergencia 3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209160</xdr:colOff>
      <xdr:row>42</xdr:row>
      <xdr:rowOff>153000</xdr:rowOff>
    </xdr:from>
    <xdr:to>
      <xdr:col>4</xdr:col>
      <xdr:colOff>595080</xdr:colOff>
      <xdr:row>42</xdr:row>
      <xdr:rowOff>154800</xdr:rowOff>
    </xdr:to>
    <xdr:cxnSp macro="">
      <xdr:nvCxnSpPr>
        <xdr:cNvPr id="107" name="Conector: angular 53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CxnSpPr/>
      </xdr:nvCxnSpPr>
      <xdr:spPr>
        <a:xfrm>
          <a:off x="2050200" y="8154000"/>
          <a:ext cx="1200960" cy="2160"/>
        </a:xfrm>
        <a:prstGeom prst="bentConnector3">
          <a:avLst>
            <a:gd name="adj1" fmla="val 50014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4</xdr:col>
      <xdr:colOff>734760</xdr:colOff>
      <xdr:row>40</xdr:row>
      <xdr:rowOff>7200</xdr:rowOff>
    </xdr:from>
    <xdr:to>
      <xdr:col>6</xdr:col>
      <xdr:colOff>288360</xdr:colOff>
      <xdr:row>42</xdr:row>
      <xdr:rowOff>84600</xdr:rowOff>
    </xdr:to>
    <xdr:sp macro="" textlink="">
      <xdr:nvSpPr>
        <xdr:cNvPr id="108" name="Rectángulo 54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/>
      </xdr:nvSpPr>
      <xdr:spPr>
        <a:xfrm>
          <a:off x="3390480" y="7627320"/>
          <a:ext cx="1058400" cy="4582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P40  de Emergencia 3 a Pre-concentrado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280800</xdr:colOff>
      <xdr:row>40</xdr:row>
      <xdr:rowOff>141480</xdr:rowOff>
    </xdr:from>
    <xdr:to>
      <xdr:col>4</xdr:col>
      <xdr:colOff>17640</xdr:colOff>
      <xdr:row>42</xdr:row>
      <xdr:rowOff>90360</xdr:rowOff>
    </xdr:to>
    <xdr:sp macro="" textlink="">
      <xdr:nvSpPr>
        <xdr:cNvPr id="109" name="Rectángulo 55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/>
      </xdr:nvSpPr>
      <xdr:spPr>
        <a:xfrm>
          <a:off x="2121840" y="7761600"/>
          <a:ext cx="551520" cy="3297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P40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5</xdr:col>
      <xdr:colOff>122040</xdr:colOff>
      <xdr:row>22</xdr:row>
      <xdr:rowOff>120240</xdr:rowOff>
    </xdr:from>
    <xdr:to>
      <xdr:col>7</xdr:col>
      <xdr:colOff>468360</xdr:colOff>
      <xdr:row>42</xdr:row>
      <xdr:rowOff>154800</xdr:rowOff>
    </xdr:to>
    <xdr:cxnSp macro="">
      <xdr:nvCxnSpPr>
        <xdr:cNvPr id="110" name="Conector: angular 56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CxnSpPr/>
      </xdr:nvCxnSpPr>
      <xdr:spPr>
        <a:xfrm rot="5400000" flipH="1" flipV="1">
          <a:off x="2568240" y="5335200"/>
          <a:ext cx="3844800" cy="1796760"/>
        </a:xfrm>
        <a:prstGeom prst="bentConnector3">
          <a:avLst>
            <a:gd name="adj1" fmla="val 49995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4</xdr:col>
      <xdr:colOff>399240</xdr:colOff>
      <xdr:row>51</xdr:row>
      <xdr:rowOff>100800</xdr:rowOff>
    </xdr:from>
    <xdr:to>
      <xdr:col>5</xdr:col>
      <xdr:colOff>212400</xdr:colOff>
      <xdr:row>54</xdr:row>
      <xdr:rowOff>42840</xdr:rowOff>
    </xdr:to>
    <xdr:sp macro="" textlink="">
      <xdr:nvSpPr>
        <xdr:cNvPr id="111" name="Triángulo isósceles 57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/>
      </xdr:nvSpPr>
      <xdr:spPr>
        <a:xfrm>
          <a:off x="3054960" y="9816480"/>
          <a:ext cx="627840" cy="51336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4</xdr:col>
      <xdr:colOff>28080</xdr:colOff>
      <xdr:row>54</xdr:row>
      <xdr:rowOff>91800</xdr:rowOff>
    </xdr:from>
    <xdr:to>
      <xdr:col>5</xdr:col>
      <xdr:colOff>655560</xdr:colOff>
      <xdr:row>55</xdr:row>
      <xdr:rowOff>92160</xdr:rowOff>
    </xdr:to>
    <xdr:sp macro="" textlink="">
      <xdr:nvSpPr>
        <xdr:cNvPr id="112" name="Rectángulo 58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/>
      </xdr:nvSpPr>
      <xdr:spPr>
        <a:xfrm>
          <a:off x="2683800" y="10378800"/>
          <a:ext cx="1442160" cy="1908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Stock Emergencia 4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373320</xdr:colOff>
      <xdr:row>52</xdr:row>
      <xdr:rowOff>168480</xdr:rowOff>
    </xdr:from>
    <xdr:to>
      <xdr:col>4</xdr:col>
      <xdr:colOff>543600</xdr:colOff>
      <xdr:row>52</xdr:row>
      <xdr:rowOff>171000</xdr:rowOff>
    </xdr:to>
    <xdr:cxnSp macro="">
      <xdr:nvCxnSpPr>
        <xdr:cNvPr id="113" name="Conector: angular 59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CxnSpPr/>
      </xdr:nvCxnSpPr>
      <xdr:spPr>
        <a:xfrm flipV="1">
          <a:off x="2214360" y="10074600"/>
          <a:ext cx="985320" cy="288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5</xdr:col>
      <xdr:colOff>41040</xdr:colOff>
      <xdr:row>49</xdr:row>
      <xdr:rowOff>177120</xdr:rowOff>
    </xdr:from>
    <xdr:to>
      <xdr:col>6</xdr:col>
      <xdr:colOff>415080</xdr:colOff>
      <xdr:row>52</xdr:row>
      <xdr:rowOff>165600</xdr:rowOff>
    </xdr:to>
    <xdr:sp macro="" textlink="">
      <xdr:nvSpPr>
        <xdr:cNvPr id="114" name="Rectángulo 60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/>
      </xdr:nvSpPr>
      <xdr:spPr>
        <a:xfrm>
          <a:off x="3511440" y="9511560"/>
          <a:ext cx="1064160" cy="5601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Sinter MLC Emergencia 4 a Pre-concentrado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95040</xdr:colOff>
      <xdr:row>50</xdr:row>
      <xdr:rowOff>79200</xdr:rowOff>
    </xdr:from>
    <xdr:to>
      <xdr:col>4</xdr:col>
      <xdr:colOff>117720</xdr:colOff>
      <xdr:row>51</xdr:row>
      <xdr:rowOff>96120</xdr:rowOff>
    </xdr:to>
    <xdr:sp macro="" textlink="">
      <xdr:nvSpPr>
        <xdr:cNvPr id="115" name="Rectángulo 61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/>
      </xdr:nvSpPr>
      <xdr:spPr>
        <a:xfrm>
          <a:off x="1936080" y="9604080"/>
          <a:ext cx="837360" cy="2077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Sinter MLC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5</xdr:col>
      <xdr:colOff>70920</xdr:colOff>
      <xdr:row>22</xdr:row>
      <xdr:rowOff>120240</xdr:rowOff>
    </xdr:from>
    <xdr:to>
      <xdr:col>7</xdr:col>
      <xdr:colOff>468360</xdr:colOff>
      <xdr:row>52</xdr:row>
      <xdr:rowOff>168480</xdr:rowOff>
    </xdr:to>
    <xdr:cxnSp macro="">
      <xdr:nvCxnSpPr>
        <xdr:cNvPr id="116" name="Conector: angular 6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CxnSpPr/>
      </xdr:nvCxnSpPr>
      <xdr:spPr>
        <a:xfrm rot="5400000" flipH="1" flipV="1">
          <a:off x="1583280" y="6269040"/>
          <a:ext cx="5763600" cy="1847880"/>
        </a:xfrm>
        <a:prstGeom prst="bentConnector3">
          <a:avLst>
            <a:gd name="adj1" fmla="val 49996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5</xdr:col>
      <xdr:colOff>645480</xdr:colOff>
      <xdr:row>22</xdr:row>
      <xdr:rowOff>120240</xdr:rowOff>
    </xdr:from>
    <xdr:to>
      <xdr:col>7</xdr:col>
      <xdr:colOff>468360</xdr:colOff>
      <xdr:row>59</xdr:row>
      <xdr:rowOff>79200</xdr:rowOff>
    </xdr:to>
    <xdr:cxnSp macro="">
      <xdr:nvCxnSpPr>
        <xdr:cNvPr id="117" name="Conector: angular 63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CxnSpPr/>
      </xdr:nvCxnSpPr>
      <xdr:spPr>
        <a:xfrm rot="5400000" flipH="1" flipV="1">
          <a:off x="1248480" y="7178400"/>
          <a:ext cx="7007760" cy="1273320"/>
        </a:xfrm>
        <a:prstGeom prst="bentConnector3">
          <a:avLst>
            <a:gd name="adj1" fmla="val 49997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9</xdr:col>
      <xdr:colOff>649800</xdr:colOff>
      <xdr:row>12</xdr:row>
      <xdr:rowOff>101880</xdr:rowOff>
    </xdr:from>
    <xdr:to>
      <xdr:col>12</xdr:col>
      <xdr:colOff>440280</xdr:colOff>
      <xdr:row>15</xdr:row>
      <xdr:rowOff>156600</xdr:rowOff>
    </xdr:to>
    <xdr:cxnSp macro="">
      <xdr:nvCxnSpPr>
        <xdr:cNvPr id="118" name="Conector: angular 64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CxnSpPr/>
      </xdr:nvCxnSpPr>
      <xdr:spPr>
        <a:xfrm>
          <a:off x="7534440" y="2387880"/>
          <a:ext cx="2430000" cy="626760"/>
        </a:xfrm>
        <a:prstGeom prst="bentConnector3">
          <a:avLst>
            <a:gd name="adj1" fmla="val 50007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12</xdr:col>
      <xdr:colOff>512640</xdr:colOff>
      <xdr:row>10</xdr:row>
      <xdr:rowOff>18000</xdr:rowOff>
    </xdr:from>
    <xdr:to>
      <xdr:col>13</xdr:col>
      <xdr:colOff>735840</xdr:colOff>
      <xdr:row>16</xdr:row>
      <xdr:rowOff>116640</xdr:rowOff>
    </xdr:to>
    <xdr:cxnSp macro="">
      <xdr:nvCxnSpPr>
        <xdr:cNvPr id="119" name="Conector: angular 65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CxnSpPr/>
      </xdr:nvCxnSpPr>
      <xdr:spPr>
        <a:xfrm rot="5400000">
          <a:off x="9906840" y="2052360"/>
          <a:ext cx="1242000" cy="983520"/>
        </a:xfrm>
        <a:prstGeom prst="bentConnector3">
          <a:avLst>
            <a:gd name="adj1" fmla="val 50014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12</xdr:col>
      <xdr:colOff>151200</xdr:colOff>
      <xdr:row>15</xdr:row>
      <xdr:rowOff>156960</xdr:rowOff>
    </xdr:from>
    <xdr:to>
      <xdr:col>12</xdr:col>
      <xdr:colOff>726480</xdr:colOff>
      <xdr:row>18</xdr:row>
      <xdr:rowOff>93240</xdr:rowOff>
    </xdr:to>
    <xdr:grpSp>
      <xdr:nvGrpSpPr>
        <xdr:cNvPr id="120" name="Grupo 66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GrpSpPr/>
      </xdr:nvGrpSpPr>
      <xdr:grpSpPr>
        <a:xfrm>
          <a:off x="9433745" y="2932372"/>
          <a:ext cx="575280" cy="489192"/>
          <a:chOff x="9675000" y="3014640"/>
          <a:chExt cx="575280" cy="507600"/>
        </a:xfrm>
      </xdr:grpSpPr>
      <xdr:sp macro="" textlink="">
        <xdr:nvSpPr>
          <xdr:cNvPr id="121" name="Triángulo isósceles 112">
            <a:extLst>
              <a:ext uri="{FF2B5EF4-FFF2-40B4-BE49-F238E27FC236}">
                <a16:creationId xmlns:a16="http://schemas.microsoft.com/office/drawing/2014/main" id="{00000000-0008-0000-0500-000079000000}"/>
              </a:ext>
            </a:extLst>
          </xdr:cNvPr>
          <xdr:cNvSpPr/>
        </xdr:nvSpPr>
        <xdr:spPr>
          <a:xfrm>
            <a:off x="9675000" y="3014640"/>
            <a:ext cx="575280" cy="507600"/>
          </a:xfrm>
          <a:prstGeom prst="triangle">
            <a:avLst>
              <a:gd name="adj" fmla="val 50000"/>
            </a:avLst>
          </a:prstGeom>
          <a:noFill/>
          <a:ln w="12700">
            <a:solidFill>
              <a:srgbClr val="325490"/>
            </a:solidFill>
            <a:miter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sp macro="" textlink="">
        <xdr:nvSpPr>
          <xdr:cNvPr id="122" name="Elipse 113">
            <a:extLst>
              <a:ext uri="{FF2B5EF4-FFF2-40B4-BE49-F238E27FC236}">
                <a16:creationId xmlns:a16="http://schemas.microsoft.com/office/drawing/2014/main" id="{00000000-0008-0000-0500-00007A000000}"/>
              </a:ext>
            </a:extLst>
          </xdr:cNvPr>
          <xdr:cNvSpPr/>
        </xdr:nvSpPr>
        <xdr:spPr>
          <a:xfrm>
            <a:off x="9892080" y="3105720"/>
            <a:ext cx="141480" cy="117000"/>
          </a:xfrm>
          <a:prstGeom prst="ellipse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sp macro="" textlink="">
        <xdr:nvSpPr>
          <xdr:cNvPr id="123" name="Elipse 114">
            <a:extLst>
              <a:ext uri="{FF2B5EF4-FFF2-40B4-BE49-F238E27FC236}">
                <a16:creationId xmlns:a16="http://schemas.microsoft.com/office/drawing/2014/main" id="{00000000-0008-0000-0500-00007B000000}"/>
              </a:ext>
            </a:extLst>
          </xdr:cNvPr>
          <xdr:cNvSpPr/>
        </xdr:nvSpPr>
        <xdr:spPr>
          <a:xfrm>
            <a:off x="9964440" y="3247920"/>
            <a:ext cx="141480" cy="117000"/>
          </a:xfrm>
          <a:prstGeom prst="ellipse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  <xdr:sp macro="" textlink="">
        <xdr:nvSpPr>
          <xdr:cNvPr id="124" name="Elipse 115">
            <a:extLst>
              <a:ext uri="{FF2B5EF4-FFF2-40B4-BE49-F238E27FC236}">
                <a16:creationId xmlns:a16="http://schemas.microsoft.com/office/drawing/2014/main" id="{00000000-0008-0000-0500-00007C000000}"/>
              </a:ext>
            </a:extLst>
          </xdr:cNvPr>
          <xdr:cNvSpPr/>
        </xdr:nvSpPr>
        <xdr:spPr>
          <a:xfrm>
            <a:off x="10036440" y="3372840"/>
            <a:ext cx="141480" cy="117000"/>
          </a:xfrm>
          <a:prstGeom prst="ellipse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</xdr:grpSp>
    <xdr:clientData/>
  </xdr:twoCellAnchor>
  <xdr:twoCellAnchor>
    <xdr:from>
      <xdr:col>13</xdr:col>
      <xdr:colOff>172440</xdr:colOff>
      <xdr:row>8</xdr:row>
      <xdr:rowOff>2520</xdr:rowOff>
    </xdr:from>
    <xdr:to>
      <xdr:col>14</xdr:col>
      <xdr:colOff>533880</xdr:colOff>
      <xdr:row>10</xdr:row>
      <xdr:rowOff>15120</xdr:rowOff>
    </xdr:to>
    <xdr:grpSp>
      <xdr:nvGrpSpPr>
        <xdr:cNvPr id="125" name="Grupo 67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GrpSpPr/>
      </xdr:nvGrpSpPr>
      <xdr:grpSpPr>
        <a:xfrm>
          <a:off x="10196435" y="1486111"/>
          <a:ext cx="1282536" cy="379514"/>
          <a:chOff x="10456200" y="1526400"/>
          <a:chExt cx="1308960" cy="393840"/>
        </a:xfrm>
      </xdr:grpSpPr>
      <xdr:sp macro="" textlink="">
        <xdr:nvSpPr>
          <xdr:cNvPr id="126" name="Rectángulo 110">
            <a:extLst>
              <a:ext uri="{FF2B5EF4-FFF2-40B4-BE49-F238E27FC236}">
                <a16:creationId xmlns:a16="http://schemas.microsoft.com/office/drawing/2014/main" id="{00000000-0008-0000-0500-00007E000000}"/>
              </a:ext>
            </a:extLst>
          </xdr:cNvPr>
          <xdr:cNvSpPr/>
        </xdr:nvSpPr>
        <xdr:spPr>
          <a:xfrm>
            <a:off x="10456200" y="1526400"/>
            <a:ext cx="1308960" cy="393840"/>
          </a:xfrm>
          <a:prstGeom prst="rect">
            <a:avLst/>
          </a:prstGeom>
          <a:noFill/>
          <a:ln w="12700">
            <a:solidFill>
              <a:srgbClr val="325490"/>
            </a:solidFill>
            <a:miter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lIns="90000" tIns="45000" rIns="90000" bIns="45000" anchor="ctr">
            <a:noAutofit/>
          </a:bodyPr>
          <a:lstStyle/>
          <a:p>
            <a:pPr algn="ctr" defTabSz="457200">
              <a:lnSpc>
                <a:spcPct val="100000"/>
              </a:lnSpc>
            </a:pPr>
            <a:r>
              <a:rPr lang="es-CL" sz="1000" b="0" u="none" strike="noStrike">
                <a:solidFill>
                  <a:schemeClr val="dk1"/>
                </a:solidFill>
                <a:effectLst/>
                <a:uFillTx/>
                <a:latin typeface="Calibri"/>
              </a:rPr>
              <a:t>Concentradora</a:t>
            </a:r>
            <a:endParaRPr lang="es-CL" sz="1000" b="0" u="none" strike="noStrike">
              <a:effectLst/>
              <a:uFillTx/>
              <a:latin typeface="Times New Roman"/>
            </a:endParaRPr>
          </a:p>
        </xdr:txBody>
      </xdr:sp>
      <xdr:sp macro="" textlink="">
        <xdr:nvSpPr>
          <xdr:cNvPr id="127" name="Elipse 111">
            <a:extLst>
              <a:ext uri="{FF2B5EF4-FFF2-40B4-BE49-F238E27FC236}">
                <a16:creationId xmlns:a16="http://schemas.microsoft.com/office/drawing/2014/main" id="{00000000-0008-0000-0500-00007F000000}"/>
              </a:ext>
            </a:extLst>
          </xdr:cNvPr>
          <xdr:cNvSpPr/>
        </xdr:nvSpPr>
        <xdr:spPr>
          <a:xfrm>
            <a:off x="11439000" y="1801440"/>
            <a:ext cx="164880" cy="117000"/>
          </a:xfrm>
          <a:prstGeom prst="ellipse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</xdr:grpSp>
    <xdr:clientData/>
  </xdr:twoCellAnchor>
  <xdr:twoCellAnchor>
    <xdr:from>
      <xdr:col>10</xdr:col>
      <xdr:colOff>663120</xdr:colOff>
      <xdr:row>9</xdr:row>
      <xdr:rowOff>188640</xdr:rowOff>
    </xdr:from>
    <xdr:to>
      <xdr:col>14</xdr:col>
      <xdr:colOff>119520</xdr:colOff>
      <xdr:row>24</xdr:row>
      <xdr:rowOff>5400</xdr:rowOff>
    </xdr:to>
    <xdr:cxnSp macro="">
      <xdr:nvCxnSpPr>
        <xdr:cNvPr id="128" name="Conector: angular 68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CxnSpPr/>
      </xdr:nvCxnSpPr>
      <xdr:spPr>
        <a:xfrm rot="10800000" flipV="1">
          <a:off x="8424720" y="1903320"/>
          <a:ext cx="2926440" cy="267444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14</xdr:col>
      <xdr:colOff>538560</xdr:colOff>
      <xdr:row>8</xdr:row>
      <xdr:rowOff>25200</xdr:rowOff>
    </xdr:from>
    <xdr:to>
      <xdr:col>15</xdr:col>
      <xdr:colOff>739440</xdr:colOff>
      <xdr:row>8</xdr:row>
      <xdr:rowOff>28080</xdr:rowOff>
    </xdr:to>
    <xdr:cxnSp macro="">
      <xdr:nvCxnSpPr>
        <xdr:cNvPr id="129" name="Conector recto de flecha 69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CxnSpPr/>
      </xdr:nvCxnSpPr>
      <xdr:spPr>
        <a:xfrm flipV="1">
          <a:off x="11769840" y="1549080"/>
          <a:ext cx="1015920" cy="3240"/>
        </a:xfrm>
        <a:prstGeom prst="straightConnector1">
          <a:avLst/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14</xdr:col>
      <xdr:colOff>712440</xdr:colOff>
      <xdr:row>9</xdr:row>
      <xdr:rowOff>32040</xdr:rowOff>
    </xdr:from>
    <xdr:to>
      <xdr:col>15</xdr:col>
      <xdr:colOff>931320</xdr:colOff>
      <xdr:row>11</xdr:row>
      <xdr:rowOff>64800</xdr:rowOff>
    </xdr:to>
    <xdr:sp macro="" textlink="">
      <xdr:nvSpPr>
        <xdr:cNvPr id="130" name="Rectángulo 70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11943720" y="1746720"/>
          <a:ext cx="1033560" cy="4136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Cola </a:t>
          </a:r>
          <a:endParaRPr lang="es-CL" sz="1000" b="0" u="none" strike="noStrik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Concentradora</a:t>
          </a:r>
          <a:endParaRPr lang="es-CL" sz="1000" b="0" u="none" strike="noStrik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(canoa)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14</xdr:col>
      <xdr:colOff>659520</xdr:colOff>
      <xdr:row>5</xdr:row>
      <xdr:rowOff>70920</xdr:rowOff>
    </xdr:from>
    <xdr:to>
      <xdr:col>15</xdr:col>
      <xdr:colOff>795240</xdr:colOff>
      <xdr:row>7</xdr:row>
      <xdr:rowOff>170280</xdr:rowOff>
    </xdr:to>
    <xdr:sp macro="" textlink="">
      <xdr:nvSpPr>
        <xdr:cNvPr id="131" name="Rectángulo 71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11890800" y="1023480"/>
          <a:ext cx="950400" cy="4802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Rechazo a </a:t>
          </a:r>
          <a:endParaRPr lang="es-CL" sz="1000" b="0" u="none" strike="noStrik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Botadero</a:t>
          </a:r>
          <a:endParaRPr lang="es-CL" sz="1000" b="0" u="none" strike="noStrik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+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320760</xdr:colOff>
      <xdr:row>22</xdr:row>
      <xdr:rowOff>155160</xdr:rowOff>
    </xdr:from>
    <xdr:to>
      <xdr:col>10</xdr:col>
      <xdr:colOff>682200</xdr:colOff>
      <xdr:row>24</xdr:row>
      <xdr:rowOff>163800</xdr:rowOff>
    </xdr:to>
    <xdr:grpSp>
      <xdr:nvGrpSpPr>
        <xdr:cNvPr id="132" name="Grupo 7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GrpSpPr/>
      </xdr:nvGrpSpPr>
      <xdr:grpSpPr>
        <a:xfrm>
          <a:off x="7031902" y="4224933"/>
          <a:ext cx="1212571" cy="376824"/>
          <a:chOff x="7205400" y="4346280"/>
          <a:chExt cx="1238400" cy="389520"/>
        </a:xfrm>
      </xdr:grpSpPr>
      <xdr:sp macro="" textlink="">
        <xdr:nvSpPr>
          <xdr:cNvPr id="133" name="Rectángulo 108">
            <a:extLst>
              <a:ext uri="{FF2B5EF4-FFF2-40B4-BE49-F238E27FC236}">
                <a16:creationId xmlns:a16="http://schemas.microsoft.com/office/drawing/2014/main" id="{00000000-0008-0000-0500-000085000000}"/>
              </a:ext>
            </a:extLst>
          </xdr:cNvPr>
          <xdr:cNvSpPr/>
        </xdr:nvSpPr>
        <xdr:spPr>
          <a:xfrm>
            <a:off x="7205400" y="4347360"/>
            <a:ext cx="1238400" cy="388440"/>
          </a:xfrm>
          <a:prstGeom prst="rect">
            <a:avLst/>
          </a:prstGeom>
          <a:noFill/>
          <a:ln w="12700">
            <a:solidFill>
              <a:srgbClr val="325490"/>
            </a:solidFill>
            <a:miter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  <xdr:txBody>
          <a:bodyPr lIns="90000" tIns="45000" rIns="90000" bIns="45000" anchor="ctr">
            <a:noAutofit/>
          </a:bodyPr>
          <a:lstStyle/>
          <a:p>
            <a:pPr algn="ctr" defTabSz="457200">
              <a:lnSpc>
                <a:spcPct val="100000"/>
              </a:lnSpc>
            </a:pPr>
            <a:r>
              <a:rPr lang="es-CL" sz="1000" b="0" u="none" strike="noStrike">
                <a:solidFill>
                  <a:schemeClr val="dk1"/>
                </a:solidFill>
                <a:effectLst/>
                <a:uFillTx/>
                <a:latin typeface="Calibri"/>
              </a:rPr>
              <a:t>Molienda</a:t>
            </a:r>
            <a:endParaRPr lang="es-CL" sz="1000" b="0" u="none" strike="noStrike">
              <a:effectLst/>
              <a:uFillTx/>
              <a:latin typeface="Times New Roman"/>
            </a:endParaRPr>
          </a:p>
        </xdr:txBody>
      </xdr:sp>
      <xdr:sp macro="" textlink="">
        <xdr:nvSpPr>
          <xdr:cNvPr id="134" name="Elipse 109">
            <a:extLst>
              <a:ext uri="{FF2B5EF4-FFF2-40B4-BE49-F238E27FC236}">
                <a16:creationId xmlns:a16="http://schemas.microsoft.com/office/drawing/2014/main" id="{00000000-0008-0000-0500-000086000000}"/>
              </a:ext>
            </a:extLst>
          </xdr:cNvPr>
          <xdr:cNvSpPr/>
        </xdr:nvSpPr>
        <xdr:spPr>
          <a:xfrm>
            <a:off x="8280000" y="4346280"/>
            <a:ext cx="155880" cy="115560"/>
          </a:xfrm>
          <a:prstGeom prst="ellipse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/>
        </xdr:style>
      </xdr:sp>
    </xdr:grpSp>
    <xdr:clientData/>
  </xdr:twoCellAnchor>
  <xdr:twoCellAnchor>
    <xdr:from>
      <xdr:col>10</xdr:col>
      <xdr:colOff>678240</xdr:colOff>
      <xdr:row>18</xdr:row>
      <xdr:rowOff>103320</xdr:rowOff>
    </xdr:from>
    <xdr:to>
      <xdr:col>12</xdr:col>
      <xdr:colOff>291240</xdr:colOff>
      <xdr:row>23</xdr:row>
      <xdr:rowOff>20520</xdr:rowOff>
    </xdr:to>
    <xdr:cxnSp macro="">
      <xdr:nvCxnSpPr>
        <xdr:cNvPr id="135" name="Conector: angular 73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CxnSpPr/>
      </xdr:nvCxnSpPr>
      <xdr:spPr>
        <a:xfrm rot="10800000" flipV="1">
          <a:off x="8439840" y="3532320"/>
          <a:ext cx="1375560" cy="87012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10</xdr:col>
      <xdr:colOff>95040</xdr:colOff>
      <xdr:row>18</xdr:row>
      <xdr:rowOff>87120</xdr:rowOff>
    </xdr:from>
    <xdr:to>
      <xdr:col>12</xdr:col>
      <xdr:colOff>123840</xdr:colOff>
      <xdr:row>22</xdr:row>
      <xdr:rowOff>146880</xdr:rowOff>
    </xdr:to>
    <xdr:cxnSp macro="">
      <xdr:nvCxnSpPr>
        <xdr:cNvPr id="136" name="Conector: angular 74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CxnSpPr/>
      </xdr:nvCxnSpPr>
      <xdr:spPr>
        <a:xfrm rot="10800000" flipV="1">
          <a:off x="7856280" y="3515760"/>
          <a:ext cx="1791360" cy="822240"/>
        </a:xfrm>
        <a:prstGeom prst="bentConnector3">
          <a:avLst>
            <a:gd name="adj1" fmla="val 49989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12</xdr:col>
      <xdr:colOff>241200</xdr:colOff>
      <xdr:row>23</xdr:row>
      <xdr:rowOff>2880</xdr:rowOff>
    </xdr:from>
    <xdr:to>
      <xdr:col>13</xdr:col>
      <xdr:colOff>219600</xdr:colOff>
      <xdr:row>24</xdr:row>
      <xdr:rowOff>5040</xdr:rowOff>
    </xdr:to>
    <xdr:sp macro="" textlink="">
      <xdr:nvSpPr>
        <xdr:cNvPr id="137" name="Rectángulo 75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9765000" y="4384440"/>
          <a:ext cx="738360" cy="1926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Repulpeo 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13</xdr:col>
      <xdr:colOff>510480</xdr:colOff>
      <xdr:row>24</xdr:row>
      <xdr:rowOff>12960</xdr:rowOff>
    </xdr:from>
    <xdr:to>
      <xdr:col>15</xdr:col>
      <xdr:colOff>148680</xdr:colOff>
      <xdr:row>25</xdr:row>
      <xdr:rowOff>132120</xdr:rowOff>
    </xdr:to>
    <xdr:sp macro="" textlink="">
      <xdr:nvSpPr>
        <xdr:cNvPr id="138" name="Rectángulo 76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10794240" y="4584960"/>
          <a:ext cx="1400400" cy="3096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SF a Molienda 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11</xdr:col>
      <xdr:colOff>735480</xdr:colOff>
      <xdr:row>5</xdr:row>
      <xdr:rowOff>39960</xdr:rowOff>
    </xdr:from>
    <xdr:to>
      <xdr:col>13</xdr:col>
      <xdr:colOff>258120</xdr:colOff>
      <xdr:row>6</xdr:row>
      <xdr:rowOff>153720</xdr:rowOff>
    </xdr:to>
    <xdr:sp macro="" textlink="">
      <xdr:nvSpPr>
        <xdr:cNvPr id="139" name="Rectángulo 77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/>
      </xdr:nvSpPr>
      <xdr:spPr>
        <a:xfrm>
          <a:off x="9444600" y="992520"/>
          <a:ext cx="1097280" cy="3042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Alim a Concentradora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7</xdr:col>
      <xdr:colOff>679320</xdr:colOff>
      <xdr:row>26</xdr:row>
      <xdr:rowOff>17280</xdr:rowOff>
    </xdr:from>
    <xdr:to>
      <xdr:col>9</xdr:col>
      <xdr:colOff>317520</xdr:colOff>
      <xdr:row>27</xdr:row>
      <xdr:rowOff>130320</xdr:rowOff>
    </xdr:to>
    <xdr:sp macro="" textlink="">
      <xdr:nvSpPr>
        <xdr:cNvPr id="140" name="Rectángulo 7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/>
      </xdr:nvSpPr>
      <xdr:spPr>
        <a:xfrm>
          <a:off x="5599800" y="4970160"/>
          <a:ext cx="1602360" cy="3038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COLA</a:t>
          </a:r>
          <a:endParaRPr lang="es-CL" sz="1000" b="0" u="none" strike="noStrike">
            <a:effectLst/>
            <a:uFillTx/>
            <a:latin typeface="Times New Roman"/>
          </a:endParaRPr>
        </a:p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MOLIENDA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500040</xdr:colOff>
      <xdr:row>23</xdr:row>
      <xdr:rowOff>154440</xdr:rowOff>
    </xdr:from>
    <xdr:to>
      <xdr:col>9</xdr:col>
      <xdr:colOff>320760</xdr:colOff>
      <xdr:row>26</xdr:row>
      <xdr:rowOff>16920</xdr:rowOff>
    </xdr:to>
    <xdr:cxnSp macro="">
      <xdr:nvCxnSpPr>
        <xdr:cNvPr id="141" name="Conector: angular 8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CxnSpPr/>
      </xdr:nvCxnSpPr>
      <xdr:spPr>
        <a:xfrm rot="10800000" flipV="1">
          <a:off x="6485400" y="4535640"/>
          <a:ext cx="720360" cy="43416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10</xdr:col>
      <xdr:colOff>28440</xdr:colOff>
      <xdr:row>24</xdr:row>
      <xdr:rowOff>166680</xdr:rowOff>
    </xdr:from>
    <xdr:to>
      <xdr:col>10</xdr:col>
      <xdr:colOff>51120</xdr:colOff>
      <xdr:row>33</xdr:row>
      <xdr:rowOff>128880</xdr:rowOff>
    </xdr:to>
    <xdr:cxnSp macro="">
      <xdr:nvCxnSpPr>
        <xdr:cNvPr id="142" name="Conector recto de flecha 8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CxnSpPr/>
      </xdr:nvCxnSpPr>
      <xdr:spPr>
        <a:xfrm>
          <a:off x="7790040" y="4738680"/>
          <a:ext cx="23040" cy="1677240"/>
        </a:xfrm>
        <a:prstGeom prst="straightConnector1">
          <a:avLst/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9</xdr:col>
      <xdr:colOff>355320</xdr:colOff>
      <xdr:row>36</xdr:row>
      <xdr:rowOff>68400</xdr:rowOff>
    </xdr:from>
    <xdr:to>
      <xdr:col>10</xdr:col>
      <xdr:colOff>51120</xdr:colOff>
      <xdr:row>53</xdr:row>
      <xdr:rowOff>130680</xdr:rowOff>
    </xdr:to>
    <xdr:cxnSp macro="">
      <xdr:nvCxnSpPr>
        <xdr:cNvPr id="143" name="Conector: angular 8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CxnSpPr/>
      </xdr:nvCxnSpPr>
      <xdr:spPr>
        <a:xfrm rot="5400000">
          <a:off x="5875560" y="8290440"/>
          <a:ext cx="3301200" cy="573120"/>
        </a:xfrm>
        <a:prstGeom prst="bentConnector3">
          <a:avLst>
            <a:gd name="adj1" fmla="val 50005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10</xdr:col>
      <xdr:colOff>51120</xdr:colOff>
      <xdr:row>36</xdr:row>
      <xdr:rowOff>68400</xdr:rowOff>
    </xdr:from>
    <xdr:to>
      <xdr:col>10</xdr:col>
      <xdr:colOff>720000</xdr:colOff>
      <xdr:row>53</xdr:row>
      <xdr:rowOff>130680</xdr:rowOff>
    </xdr:to>
    <xdr:cxnSp macro="">
      <xdr:nvCxnSpPr>
        <xdr:cNvPr id="144" name="Conector: angular 83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CxnSpPr/>
      </xdr:nvCxnSpPr>
      <xdr:spPr>
        <a:xfrm rot="16200000" flipH="1">
          <a:off x="6496920" y="8242200"/>
          <a:ext cx="3301200" cy="669240"/>
        </a:xfrm>
        <a:prstGeom prst="bentConnector3">
          <a:avLst>
            <a:gd name="adj1" fmla="val 50005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8</xdr:col>
      <xdr:colOff>19800</xdr:colOff>
      <xdr:row>46</xdr:row>
      <xdr:rowOff>129960</xdr:rowOff>
    </xdr:from>
    <xdr:to>
      <xdr:col>9</xdr:col>
      <xdr:colOff>306720</xdr:colOff>
      <xdr:row>49</xdr:row>
      <xdr:rowOff>71640</xdr:rowOff>
    </xdr:to>
    <xdr:sp macro="" textlink="">
      <xdr:nvSpPr>
        <xdr:cNvPr id="145" name="Rectángulo 84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/>
      </xdr:nvSpPr>
      <xdr:spPr>
        <a:xfrm>
          <a:off x="6005160" y="8893080"/>
          <a:ext cx="1186200" cy="513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Transp</a:t>
          </a:r>
          <a:endParaRPr lang="es-CL" sz="1000" b="0" u="none" strike="noStrike">
            <a:effectLst/>
            <a:uFillTx/>
            <a:latin typeface="Times New Roman"/>
          </a:endParaRPr>
        </a:p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P. Feed</a:t>
          </a:r>
          <a:endParaRPr lang="es-CL" sz="1000" b="0" u="none" strike="noStrike">
            <a:effectLst/>
            <a:uFillTx/>
            <a:latin typeface="Times New Roman"/>
          </a:endParaRPr>
        </a:p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Camiones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11</xdr:col>
      <xdr:colOff>219960</xdr:colOff>
      <xdr:row>46</xdr:row>
      <xdr:rowOff>147960</xdr:rowOff>
    </xdr:from>
    <xdr:to>
      <xdr:col>12</xdr:col>
      <xdr:colOff>506880</xdr:colOff>
      <xdr:row>49</xdr:row>
      <xdr:rowOff>89640</xdr:rowOff>
    </xdr:to>
    <xdr:sp macro="" textlink="">
      <xdr:nvSpPr>
        <xdr:cNvPr id="146" name="Rectángulo 8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/>
      </xdr:nvSpPr>
      <xdr:spPr>
        <a:xfrm>
          <a:off x="8929080" y="8911080"/>
          <a:ext cx="1101600" cy="513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Transp</a:t>
          </a:r>
          <a:endParaRPr lang="es-CL" sz="1000" b="0" u="none" strike="noStrik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P. Feed</a:t>
          </a:r>
          <a:endParaRPr lang="es-CL" sz="1000" b="0" u="none" strike="noStrik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Trenes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10</xdr:col>
      <xdr:colOff>712800</xdr:colOff>
      <xdr:row>54</xdr:row>
      <xdr:rowOff>91800</xdr:rowOff>
    </xdr:from>
    <xdr:to>
      <xdr:col>11</xdr:col>
      <xdr:colOff>745560</xdr:colOff>
      <xdr:row>54</xdr:row>
      <xdr:rowOff>91800</xdr:rowOff>
    </xdr:to>
    <xdr:cxnSp macro="">
      <xdr:nvCxnSpPr>
        <xdr:cNvPr id="147" name="Conector recto de flecha 86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CxnSpPr/>
      </xdr:nvCxnSpPr>
      <xdr:spPr>
        <a:xfrm>
          <a:off x="8474400" y="10378800"/>
          <a:ext cx="980640" cy="360"/>
        </a:xfrm>
        <a:prstGeom prst="straightConnector1">
          <a:avLst/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10</xdr:col>
      <xdr:colOff>732240</xdr:colOff>
      <xdr:row>54</xdr:row>
      <xdr:rowOff>35280</xdr:rowOff>
    </xdr:from>
    <xdr:to>
      <xdr:col>12</xdr:col>
      <xdr:colOff>79200</xdr:colOff>
      <xdr:row>56</xdr:row>
      <xdr:rowOff>161280</xdr:rowOff>
    </xdr:to>
    <xdr:sp macro="" textlink="">
      <xdr:nvSpPr>
        <xdr:cNvPr id="148" name="Rectángulo 8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/>
      </xdr:nvSpPr>
      <xdr:spPr>
        <a:xfrm>
          <a:off x="8493840" y="10322280"/>
          <a:ext cx="1109160" cy="5068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Pérdidas por Transporte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10</xdr:col>
      <xdr:colOff>156600</xdr:colOff>
      <xdr:row>54</xdr:row>
      <xdr:rowOff>138600</xdr:rowOff>
    </xdr:from>
    <xdr:to>
      <xdr:col>12</xdr:col>
      <xdr:colOff>193320</xdr:colOff>
      <xdr:row>61</xdr:row>
      <xdr:rowOff>185400</xdr:rowOff>
    </xdr:to>
    <xdr:cxnSp macro="">
      <xdr:nvCxnSpPr>
        <xdr:cNvPr id="149" name="Conector: angular 88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CxnSpPr/>
      </xdr:nvCxnSpPr>
      <xdr:spPr>
        <a:xfrm>
          <a:off x="7918200" y="10425600"/>
          <a:ext cx="1799280" cy="1380600"/>
        </a:xfrm>
        <a:prstGeom prst="bentConnector3">
          <a:avLst>
            <a:gd name="adj1" fmla="val 5001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12</xdr:col>
      <xdr:colOff>627480</xdr:colOff>
      <xdr:row>63</xdr:row>
      <xdr:rowOff>61920</xdr:rowOff>
    </xdr:from>
    <xdr:to>
      <xdr:col>15</xdr:col>
      <xdr:colOff>98280</xdr:colOff>
      <xdr:row>65</xdr:row>
      <xdr:rowOff>126000</xdr:rowOff>
    </xdr:to>
    <xdr:cxnSp macro="">
      <xdr:nvCxnSpPr>
        <xdr:cNvPr id="150" name="Conector: angular 8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CxnSpPr/>
      </xdr:nvCxnSpPr>
      <xdr:spPr>
        <a:xfrm>
          <a:off x="10151280" y="12063600"/>
          <a:ext cx="1993320" cy="44532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9</xdr:col>
      <xdr:colOff>260280</xdr:colOff>
      <xdr:row>57</xdr:row>
      <xdr:rowOff>89280</xdr:rowOff>
    </xdr:from>
    <xdr:to>
      <xdr:col>10</xdr:col>
      <xdr:colOff>645120</xdr:colOff>
      <xdr:row>59</xdr:row>
      <xdr:rowOff>111960</xdr:rowOff>
    </xdr:to>
    <xdr:sp macro="" textlink="">
      <xdr:nvSpPr>
        <xdr:cNvPr id="151" name="Rectángulo 90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7144920" y="10947960"/>
          <a:ext cx="1261800" cy="4035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Transp</a:t>
          </a:r>
          <a:endParaRPr lang="es-CL" sz="1000" b="0" u="none" strike="noStrik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Total</a:t>
          </a:r>
          <a:endParaRPr lang="es-CL" sz="1000" b="0" u="none" strike="noStrik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P. Feed</a:t>
          </a:r>
          <a:endParaRPr lang="es-CL" sz="1000" b="0" u="none" strike="noStrik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A Guayacan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20880</xdr:colOff>
      <xdr:row>67</xdr:row>
      <xdr:rowOff>137880</xdr:rowOff>
    </xdr:from>
    <xdr:to>
      <xdr:col>9</xdr:col>
      <xdr:colOff>596160</xdr:colOff>
      <xdr:row>70</xdr:row>
      <xdr:rowOff>73800</xdr:rowOff>
    </xdr:to>
    <xdr:sp macro="" textlink="">
      <xdr:nvSpPr>
        <xdr:cNvPr id="152" name="Triángulo isósceles 9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6905520" y="12901320"/>
          <a:ext cx="575280" cy="507600"/>
        </a:xfrm>
        <a:prstGeom prst="triangle">
          <a:avLst>
            <a:gd name="adj" fmla="val 50000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8</xdr:col>
      <xdr:colOff>289800</xdr:colOff>
      <xdr:row>65</xdr:row>
      <xdr:rowOff>118440</xdr:rowOff>
    </xdr:from>
    <xdr:to>
      <xdr:col>9</xdr:col>
      <xdr:colOff>576720</xdr:colOff>
      <xdr:row>68</xdr:row>
      <xdr:rowOff>54000</xdr:rowOff>
    </xdr:to>
    <xdr:sp macro="" textlink="">
      <xdr:nvSpPr>
        <xdr:cNvPr id="153" name="Rectángulo 9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6275160" y="12501000"/>
          <a:ext cx="1186200" cy="5068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Stock SF Patio Tolva ROM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6</xdr:col>
      <xdr:colOff>754200</xdr:colOff>
      <xdr:row>68</xdr:row>
      <xdr:rowOff>86040</xdr:rowOff>
    </xdr:from>
    <xdr:to>
      <xdr:col>9</xdr:col>
      <xdr:colOff>165240</xdr:colOff>
      <xdr:row>69</xdr:row>
      <xdr:rowOff>14400</xdr:rowOff>
    </xdr:to>
    <xdr:cxnSp macro="">
      <xdr:nvCxnSpPr>
        <xdr:cNvPr id="154" name="Conector: angular 9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CxnSpPr/>
      </xdr:nvCxnSpPr>
      <xdr:spPr>
        <a:xfrm>
          <a:off x="4914720" y="13039920"/>
          <a:ext cx="2135520" cy="119520"/>
        </a:xfrm>
        <a:prstGeom prst="bentConnector3">
          <a:avLst>
            <a:gd name="adj1" fmla="val 50008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6</xdr:col>
      <xdr:colOff>697320</xdr:colOff>
      <xdr:row>70</xdr:row>
      <xdr:rowOff>54720</xdr:rowOff>
    </xdr:from>
    <xdr:to>
      <xdr:col>9</xdr:col>
      <xdr:colOff>20520</xdr:colOff>
      <xdr:row>72</xdr:row>
      <xdr:rowOff>61200</xdr:rowOff>
    </xdr:to>
    <xdr:cxnSp macro="">
      <xdr:nvCxnSpPr>
        <xdr:cNvPr id="155" name="Conector: angular 94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CxnSpPr/>
      </xdr:nvCxnSpPr>
      <xdr:spPr>
        <a:xfrm flipV="1">
          <a:off x="4857840" y="13389840"/>
          <a:ext cx="2047680" cy="387720"/>
        </a:xfrm>
        <a:prstGeom prst="bentConnector3">
          <a:avLst>
            <a:gd name="adj1" fmla="val 50008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9</xdr:col>
      <xdr:colOff>454320</xdr:colOff>
      <xdr:row>69</xdr:row>
      <xdr:rowOff>12240</xdr:rowOff>
    </xdr:from>
    <xdr:to>
      <xdr:col>12</xdr:col>
      <xdr:colOff>223200</xdr:colOff>
      <xdr:row>69</xdr:row>
      <xdr:rowOff>14400</xdr:rowOff>
    </xdr:to>
    <xdr:cxnSp macro="">
      <xdr:nvCxnSpPr>
        <xdr:cNvPr id="156" name="Conector: angular 95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CxnSpPr/>
      </xdr:nvCxnSpPr>
      <xdr:spPr>
        <a:xfrm flipV="1">
          <a:off x="7338960" y="13156920"/>
          <a:ext cx="2408400" cy="2520"/>
        </a:xfrm>
        <a:prstGeom prst="bentConnector3">
          <a:avLst>
            <a:gd name="adj1" fmla="val 50007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12</xdr:col>
      <xdr:colOff>505440</xdr:colOff>
      <xdr:row>67</xdr:row>
      <xdr:rowOff>184680</xdr:rowOff>
    </xdr:from>
    <xdr:to>
      <xdr:col>17</xdr:col>
      <xdr:colOff>320040</xdr:colOff>
      <xdr:row>68</xdr:row>
      <xdr:rowOff>25200</xdr:rowOff>
    </xdr:to>
    <xdr:cxnSp macro="">
      <xdr:nvCxnSpPr>
        <xdr:cNvPr id="157" name="Conector: angular 96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CxnSpPr/>
      </xdr:nvCxnSpPr>
      <xdr:spPr>
        <a:xfrm flipV="1">
          <a:off x="10029240" y="12948120"/>
          <a:ext cx="4403520" cy="31320"/>
        </a:xfrm>
        <a:prstGeom prst="bentConnector3">
          <a:avLst>
            <a:gd name="adj1" fmla="val 50004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5</xdr:col>
      <xdr:colOff>464400</xdr:colOff>
      <xdr:row>67</xdr:row>
      <xdr:rowOff>18360</xdr:rowOff>
    </xdr:from>
    <xdr:to>
      <xdr:col>6</xdr:col>
      <xdr:colOff>751320</xdr:colOff>
      <xdr:row>69</xdr:row>
      <xdr:rowOff>144720</xdr:rowOff>
    </xdr:to>
    <xdr:sp macro="" textlink="">
      <xdr:nvSpPr>
        <xdr:cNvPr id="158" name="Rectángulo 9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3934800" y="12781800"/>
          <a:ext cx="977040" cy="5076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Recepción SFMLC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5</xdr:col>
      <xdr:colOff>464040</xdr:colOff>
      <xdr:row>71</xdr:row>
      <xdr:rowOff>45360</xdr:rowOff>
    </xdr:from>
    <xdr:to>
      <xdr:col>6</xdr:col>
      <xdr:colOff>750960</xdr:colOff>
      <xdr:row>73</xdr:row>
      <xdr:rowOff>171360</xdr:rowOff>
    </xdr:to>
    <xdr:sp macro="" textlink="">
      <xdr:nvSpPr>
        <xdr:cNvPr id="159" name="Rectángulo 98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3934440" y="13570920"/>
          <a:ext cx="977040" cy="50688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P55 desde MLC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335160</xdr:colOff>
      <xdr:row>70</xdr:row>
      <xdr:rowOff>71280</xdr:rowOff>
    </xdr:from>
    <xdr:to>
      <xdr:col>12</xdr:col>
      <xdr:colOff>78840</xdr:colOff>
      <xdr:row>74</xdr:row>
      <xdr:rowOff>50040</xdr:rowOff>
    </xdr:to>
    <xdr:cxnSp macro="">
      <xdr:nvCxnSpPr>
        <xdr:cNvPr id="160" name="Conector: angular 99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CxnSpPr/>
      </xdr:nvCxnSpPr>
      <xdr:spPr>
        <a:xfrm flipV="1">
          <a:off x="6320520" y="13406400"/>
          <a:ext cx="3282480" cy="740880"/>
        </a:xfrm>
        <a:prstGeom prst="bentConnector3">
          <a:avLst>
            <a:gd name="adj1" fmla="val 50005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7</xdr:col>
      <xdr:colOff>637920</xdr:colOff>
      <xdr:row>74</xdr:row>
      <xdr:rowOff>50400</xdr:rowOff>
    </xdr:from>
    <xdr:to>
      <xdr:col>9</xdr:col>
      <xdr:colOff>29880</xdr:colOff>
      <xdr:row>76</xdr:row>
      <xdr:rowOff>182520</xdr:rowOff>
    </xdr:to>
    <xdr:sp macro="" textlink="">
      <xdr:nvSpPr>
        <xdr:cNvPr id="161" name="Rectángulo 100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5558400" y="14147280"/>
          <a:ext cx="1356120" cy="5133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Recepción SF directo desde MLC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257760</xdr:colOff>
      <xdr:row>70</xdr:row>
      <xdr:rowOff>71280</xdr:rowOff>
    </xdr:from>
    <xdr:to>
      <xdr:col>12</xdr:col>
      <xdr:colOff>367920</xdr:colOff>
      <xdr:row>77</xdr:row>
      <xdr:rowOff>182520</xdr:rowOff>
    </xdr:to>
    <xdr:cxnSp macro="">
      <xdr:nvCxnSpPr>
        <xdr:cNvPr id="162" name="Conector: angular 101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CxnSpPr/>
      </xdr:nvCxnSpPr>
      <xdr:spPr>
        <a:xfrm flipV="1">
          <a:off x="7142400" y="13406400"/>
          <a:ext cx="2749680" cy="1445040"/>
        </a:xfrm>
        <a:prstGeom prst="bentConnector3">
          <a:avLst>
            <a:gd name="adj1" fmla="val 50006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8</xdr:col>
      <xdr:colOff>560160</xdr:colOff>
      <xdr:row>77</xdr:row>
      <xdr:rowOff>182880</xdr:rowOff>
    </xdr:from>
    <xdr:to>
      <xdr:col>9</xdr:col>
      <xdr:colOff>714240</xdr:colOff>
      <xdr:row>79</xdr:row>
      <xdr:rowOff>171360</xdr:rowOff>
    </xdr:to>
    <xdr:sp macro="" textlink="">
      <xdr:nvSpPr>
        <xdr:cNvPr id="163" name="Rectángulo 102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6545520" y="14851440"/>
          <a:ext cx="1053360" cy="36936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Recepción Finos Pleito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634680</xdr:colOff>
      <xdr:row>81</xdr:row>
      <xdr:rowOff>40320</xdr:rowOff>
    </xdr:from>
    <xdr:to>
      <xdr:col>12</xdr:col>
      <xdr:colOff>336240</xdr:colOff>
      <xdr:row>83</xdr:row>
      <xdr:rowOff>163080</xdr:rowOff>
    </xdr:to>
    <xdr:cxnSp macro="">
      <xdr:nvCxnSpPr>
        <xdr:cNvPr id="164" name="Conector: angular 103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CxnSpPr/>
      </xdr:nvCxnSpPr>
      <xdr:spPr>
        <a:xfrm flipV="1">
          <a:off x="7519320" y="15471000"/>
          <a:ext cx="2341080" cy="50400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8</xdr:col>
      <xdr:colOff>358200</xdr:colOff>
      <xdr:row>82</xdr:row>
      <xdr:rowOff>46080</xdr:rowOff>
    </xdr:from>
    <xdr:to>
      <xdr:col>9</xdr:col>
      <xdr:colOff>711000</xdr:colOff>
      <xdr:row>84</xdr:row>
      <xdr:rowOff>40320</xdr:rowOff>
    </xdr:to>
    <xdr:sp macro="" textlink="">
      <xdr:nvSpPr>
        <xdr:cNvPr id="165" name="Rectángulo 104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6343560" y="15667200"/>
          <a:ext cx="1252080" cy="37512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Recepción Planta Cristales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731880</xdr:colOff>
      <xdr:row>82</xdr:row>
      <xdr:rowOff>107640</xdr:rowOff>
    </xdr:from>
    <xdr:to>
      <xdr:col>12</xdr:col>
      <xdr:colOff>191520</xdr:colOff>
      <xdr:row>87</xdr:row>
      <xdr:rowOff>102600</xdr:rowOff>
    </xdr:to>
    <xdr:cxnSp macro="">
      <xdr:nvCxnSpPr>
        <xdr:cNvPr id="166" name="Conector: angular 105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CxnSpPr/>
      </xdr:nvCxnSpPr>
      <xdr:spPr>
        <a:xfrm flipV="1">
          <a:off x="7616520" y="15728760"/>
          <a:ext cx="2099160" cy="94788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8</xdr:col>
      <xdr:colOff>424800</xdr:colOff>
      <xdr:row>85</xdr:row>
      <xdr:rowOff>174240</xdr:rowOff>
    </xdr:from>
    <xdr:to>
      <xdr:col>10</xdr:col>
      <xdr:colOff>15840</xdr:colOff>
      <xdr:row>87</xdr:row>
      <xdr:rowOff>168840</xdr:rowOff>
    </xdr:to>
    <xdr:sp macro="" textlink="">
      <xdr:nvSpPr>
        <xdr:cNvPr id="167" name="Rectángulo 106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6410160" y="16366680"/>
          <a:ext cx="1367280" cy="3758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Recepción Granzas Pleito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12</xdr:col>
      <xdr:colOff>480960</xdr:colOff>
      <xdr:row>79</xdr:row>
      <xdr:rowOff>168480</xdr:rowOff>
    </xdr:from>
    <xdr:to>
      <xdr:col>15</xdr:col>
      <xdr:colOff>158760</xdr:colOff>
      <xdr:row>81</xdr:row>
      <xdr:rowOff>144360</xdr:rowOff>
    </xdr:to>
    <xdr:cxnSp macro="">
      <xdr:nvCxnSpPr>
        <xdr:cNvPr id="168" name="Conector: angular 107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CxnSpPr/>
      </xdr:nvCxnSpPr>
      <xdr:spPr>
        <a:xfrm>
          <a:off x="10004760" y="15217920"/>
          <a:ext cx="2200320" cy="357480"/>
        </a:xfrm>
        <a:prstGeom prst="bentConnector3">
          <a:avLst>
            <a:gd name="adj1" fmla="val 50008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12</xdr:col>
      <xdr:colOff>531720</xdr:colOff>
      <xdr:row>70</xdr:row>
      <xdr:rowOff>69120</xdr:rowOff>
    </xdr:from>
    <xdr:to>
      <xdr:col>16</xdr:col>
      <xdr:colOff>491760</xdr:colOff>
      <xdr:row>76</xdr:row>
      <xdr:rowOff>75960</xdr:rowOff>
    </xdr:to>
    <xdr:cxnSp macro="">
      <xdr:nvCxnSpPr>
        <xdr:cNvPr id="169" name="Conector: angular 96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CxnSpPr/>
      </xdr:nvCxnSpPr>
      <xdr:spPr>
        <a:xfrm>
          <a:off x="10055520" y="13404240"/>
          <a:ext cx="3734280" cy="115020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15</xdr:col>
      <xdr:colOff>469080</xdr:colOff>
      <xdr:row>73</xdr:row>
      <xdr:rowOff>127440</xdr:rowOff>
    </xdr:from>
    <xdr:to>
      <xdr:col>18</xdr:col>
      <xdr:colOff>32040</xdr:colOff>
      <xdr:row>76</xdr:row>
      <xdr:rowOff>63360</xdr:rowOff>
    </xdr:to>
    <xdr:sp macro="" textlink="">
      <xdr:nvSpPr>
        <xdr:cNvPr id="170" name="Rectángulo 17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12515040" y="14033880"/>
          <a:ext cx="2444040" cy="5076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Ventas locales</a:t>
          </a:r>
          <a:endParaRPr lang="es-CL" sz="1000" b="0" u="none" strike="noStrike">
            <a:effectLst/>
            <a:uFillTx/>
            <a:latin typeface="Times New Roman"/>
          </a:endParaRPr>
        </a:p>
        <a:p>
          <a:pPr defTabSz="457200">
            <a:lnSpc>
              <a:spcPct val="100000"/>
            </a:lnSpc>
          </a:pP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10</xdr:col>
      <xdr:colOff>617760</xdr:colOff>
      <xdr:row>70</xdr:row>
      <xdr:rowOff>71280</xdr:rowOff>
    </xdr:from>
    <xdr:to>
      <xdr:col>12</xdr:col>
      <xdr:colOff>645840</xdr:colOff>
      <xdr:row>77</xdr:row>
      <xdr:rowOff>158040</xdr:rowOff>
    </xdr:to>
    <xdr:cxnSp macro="">
      <xdr:nvCxnSpPr>
        <xdr:cNvPr id="171" name="Conector: angular 101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CxnSpPr/>
      </xdr:nvCxnSpPr>
      <xdr:spPr>
        <a:xfrm flipV="1">
          <a:off x="8379360" y="13406400"/>
          <a:ext cx="1790640" cy="1420560"/>
        </a:xfrm>
        <a:prstGeom prst="bentConnector3">
          <a:avLst>
            <a:gd name="adj1" fmla="val 5001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9</xdr:col>
      <xdr:colOff>750240</xdr:colOff>
      <xdr:row>75</xdr:row>
      <xdr:rowOff>177480</xdr:rowOff>
    </xdr:from>
    <xdr:to>
      <xdr:col>10</xdr:col>
      <xdr:colOff>927000</xdr:colOff>
      <xdr:row>77</xdr:row>
      <xdr:rowOff>179640</xdr:rowOff>
    </xdr:to>
    <xdr:sp macro="" textlink="">
      <xdr:nvSpPr>
        <xdr:cNvPr id="172" name="Rectángulo 102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7634880" y="14465160"/>
          <a:ext cx="1053720" cy="38304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 defTabSz="457200">
            <a:lnSpc>
              <a:spcPct val="100000"/>
            </a:lnSpc>
          </a:pPr>
          <a:r>
            <a:rPr lang="es-CL" sz="1000" b="0" u="none" strike="noStrike">
              <a:solidFill>
                <a:schemeClr val="dk1"/>
              </a:solidFill>
              <a:effectLst/>
              <a:uFillTx/>
              <a:latin typeface="Calibri"/>
            </a:rPr>
            <a:t>Recepción APC</a:t>
          </a:r>
          <a:endParaRPr lang="es-CL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12</xdr:col>
      <xdr:colOff>510120</xdr:colOff>
      <xdr:row>82</xdr:row>
      <xdr:rowOff>107640</xdr:rowOff>
    </xdr:from>
    <xdr:to>
      <xdr:col>17</xdr:col>
      <xdr:colOff>46440</xdr:colOff>
      <xdr:row>87</xdr:row>
      <xdr:rowOff>110880</xdr:rowOff>
    </xdr:to>
    <xdr:cxnSp macro="">
      <xdr:nvCxnSpPr>
        <xdr:cNvPr id="173" name="Conector: angular 105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CxnSpPr/>
      </xdr:nvCxnSpPr>
      <xdr:spPr>
        <a:xfrm rot="10800000">
          <a:off x="10033920" y="15728400"/>
          <a:ext cx="4125240" cy="956160"/>
        </a:xfrm>
        <a:prstGeom prst="bentConnector3">
          <a:avLst>
            <a:gd name="adj1" fmla="val 5000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12</xdr:col>
      <xdr:colOff>709200</xdr:colOff>
      <xdr:row>82</xdr:row>
      <xdr:rowOff>89640</xdr:rowOff>
    </xdr:from>
    <xdr:to>
      <xdr:col>18</xdr:col>
      <xdr:colOff>402480</xdr:colOff>
      <xdr:row>83</xdr:row>
      <xdr:rowOff>60480</xdr:rowOff>
    </xdr:to>
    <xdr:cxnSp macro="">
      <xdr:nvCxnSpPr>
        <xdr:cNvPr id="174" name="Conector: angular 105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CxnSpPr/>
      </xdr:nvCxnSpPr>
      <xdr:spPr>
        <a:xfrm rot="10800000">
          <a:off x="10232640" y="15710760"/>
          <a:ext cx="5096880" cy="161640"/>
        </a:xfrm>
        <a:prstGeom prst="bentConnector3">
          <a:avLst>
            <a:gd name="adj1" fmla="val 49996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12</xdr:col>
      <xdr:colOff>510120</xdr:colOff>
      <xdr:row>82</xdr:row>
      <xdr:rowOff>107640</xdr:rowOff>
    </xdr:from>
    <xdr:to>
      <xdr:col>16</xdr:col>
      <xdr:colOff>448920</xdr:colOff>
      <xdr:row>85</xdr:row>
      <xdr:rowOff>88200</xdr:rowOff>
    </xdr:to>
    <xdr:cxnSp macro="">
      <xdr:nvCxnSpPr>
        <xdr:cNvPr id="175" name="Conector: angular 105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CxnSpPr/>
      </xdr:nvCxnSpPr>
      <xdr:spPr>
        <a:xfrm rot="10800000">
          <a:off x="10033560" y="15728400"/>
          <a:ext cx="3713040" cy="552240"/>
        </a:xfrm>
        <a:prstGeom prst="bentConnector3">
          <a:avLst>
            <a:gd name="adj1" fmla="val 49995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7</xdr:col>
      <xdr:colOff>8640</xdr:colOff>
      <xdr:row>62</xdr:row>
      <xdr:rowOff>15480</xdr:rowOff>
    </xdr:from>
    <xdr:to>
      <xdr:col>12</xdr:col>
      <xdr:colOff>223200</xdr:colOff>
      <xdr:row>69</xdr:row>
      <xdr:rowOff>12240</xdr:rowOff>
    </xdr:to>
    <xdr:cxnSp macro="">
      <xdr:nvCxnSpPr>
        <xdr:cNvPr id="176" name="Conector: angular 105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CxnSpPr/>
      </xdr:nvCxnSpPr>
      <xdr:spPr>
        <a:xfrm>
          <a:off x="4929120" y="11826360"/>
          <a:ext cx="4818240" cy="1330920"/>
        </a:xfrm>
        <a:prstGeom prst="bentConnector3">
          <a:avLst>
            <a:gd name="adj1" fmla="val 50003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  <xdr:twoCellAnchor>
    <xdr:from>
      <xdr:col>12</xdr:col>
      <xdr:colOff>674280</xdr:colOff>
      <xdr:row>14</xdr:row>
      <xdr:rowOff>181800</xdr:rowOff>
    </xdr:from>
    <xdr:to>
      <xdr:col>15</xdr:col>
      <xdr:colOff>54720</xdr:colOff>
      <xdr:row>17</xdr:row>
      <xdr:rowOff>182880</xdr:rowOff>
    </xdr:to>
    <xdr:cxnSp macro="">
      <xdr:nvCxnSpPr>
        <xdr:cNvPr id="177" name="Conector: angular 65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CxnSpPr/>
      </xdr:nvCxnSpPr>
      <xdr:spPr>
        <a:xfrm rot="10800000" flipV="1">
          <a:off x="10197720" y="2848320"/>
          <a:ext cx="1902960" cy="573120"/>
        </a:xfrm>
        <a:prstGeom prst="bentConnector3">
          <a:avLst>
            <a:gd name="adj1" fmla="val 49990"/>
          </a:avLst>
        </a:prstGeom>
        <a:ln w="6350">
          <a:solidFill>
            <a:srgbClr val="4472C4"/>
          </a:solidFill>
          <a:miter/>
          <a:tailEnd type="triangle" w="med" len="med"/>
        </a:ln>
      </xdr:spPr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4:CD63"/>
  <sheetViews>
    <sheetView tabSelected="1" topLeftCell="AG1" zoomScale="110" zoomScaleNormal="110" workbookViewId="0">
      <selection activeCell="BT18" sqref="BT18"/>
    </sheetView>
  </sheetViews>
  <sheetFormatPr baseColWidth="10" defaultColWidth="3.6640625" defaultRowHeight="14.4"/>
  <cols>
    <col min="1" max="82" width="3.6640625" style="15"/>
  </cols>
  <sheetData>
    <row r="14" spans="4:68" ht="13.5" customHeight="1">
      <c r="AD14" s="14">
        <f>SUM(AO37,AQ38:AR44)</f>
        <v>78855.35874115146</v>
      </c>
      <c r="AE14" s="14"/>
      <c r="AF14" s="14"/>
      <c r="AG14" s="14"/>
      <c r="AN14" s="14">
        <f>N53</f>
        <v>65407</v>
      </c>
      <c r="AO14" s="14"/>
      <c r="AP14" s="14"/>
      <c r="AQ14" s="14"/>
      <c r="AR14" s="14"/>
      <c r="AS14" s="14"/>
      <c r="AY14" s="14">
        <f>AI53</f>
        <v>54106</v>
      </c>
      <c r="AZ14" s="14"/>
      <c r="BA14" s="14"/>
      <c r="BB14" s="14"/>
      <c r="BC14" s="14"/>
      <c r="BD14" s="14"/>
      <c r="BK14" s="14" t="str">
        <f>BE53</f>
        <v/>
      </c>
      <c r="BL14" s="14"/>
      <c r="BM14" s="14"/>
      <c r="BN14" s="14"/>
      <c r="BO14" s="14"/>
      <c r="BP14" s="14"/>
    </row>
    <row r="15" spans="4:68" ht="13.5" customHeight="1">
      <c r="D15" s="13">
        <f>AQ37/(1-'Datos Extra'!D27)</f>
        <v>72939.35874115146</v>
      </c>
      <c r="E15" s="13"/>
      <c r="J15" s="12">
        <f>Report!P11</f>
        <v>0.6472</v>
      </c>
      <c r="K15" s="12"/>
      <c r="L15" s="12"/>
      <c r="Q15" s="12">
        <f>Flujos!G20/(Flujos!G18+Flujos!G16+Flujos!G15)</f>
        <v>0.5973997720915778</v>
      </c>
      <c r="R15" s="12"/>
      <c r="W15" s="12">
        <f>Flujos!G20*Flujos!H20/(Flujos!G18*Flujos!H18+Flujos!G16*Flujos!H16+Flujos!G15*Flujos!H15)</f>
        <v>0.89225688074793552</v>
      </c>
      <c r="X15" s="12"/>
      <c r="AD15" s="14"/>
      <c r="AE15" s="14"/>
      <c r="AF15" s="14"/>
      <c r="AG15" s="14"/>
      <c r="AN15" s="14"/>
      <c r="AO15" s="14"/>
      <c r="AP15" s="14"/>
      <c r="AQ15" s="14"/>
      <c r="AR15" s="14"/>
      <c r="AS15" s="14"/>
      <c r="AY15" s="14"/>
      <c r="AZ15" s="14"/>
      <c r="BA15" s="14"/>
      <c r="BB15" s="14"/>
      <c r="BC15" s="14"/>
      <c r="BD15" s="14"/>
      <c r="BK15" s="14"/>
      <c r="BL15" s="14"/>
      <c r="BM15" s="14"/>
      <c r="BN15" s="14"/>
      <c r="BO15" s="14"/>
      <c r="BP15" s="14"/>
    </row>
    <row r="16" spans="4:68">
      <c r="AY16" s="11"/>
      <c r="AZ16" s="11"/>
      <c r="BL16" s="11"/>
      <c r="BM16" s="11"/>
    </row>
    <row r="17" spans="1:69" ht="14.25" customHeight="1">
      <c r="A17" s="10" t="s">
        <v>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U17" s="10" t="s">
        <v>1</v>
      </c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</row>
    <row r="19" spans="1:69" ht="14.25" customHeight="1">
      <c r="B19" s="9" t="s">
        <v>2</v>
      </c>
      <c r="C19" s="9"/>
      <c r="D19" s="9"/>
      <c r="E19" s="9"/>
      <c r="F19" s="9"/>
      <c r="G19" s="9"/>
      <c r="H19" s="9"/>
      <c r="I19" s="9"/>
      <c r="K19" s="9" t="s">
        <v>3</v>
      </c>
      <c r="L19" s="9"/>
      <c r="M19" s="9"/>
      <c r="N19" s="9"/>
      <c r="O19" s="9"/>
      <c r="P19" s="9"/>
      <c r="Q19" s="9"/>
      <c r="R19" s="9"/>
      <c r="T19" s="9" t="s">
        <v>4</v>
      </c>
      <c r="U19" s="9"/>
      <c r="V19" s="9"/>
      <c r="W19" s="9"/>
      <c r="X19" s="9"/>
      <c r="Y19" s="9"/>
      <c r="Z19" s="9"/>
      <c r="AA19" s="9"/>
      <c r="AC19" s="9" t="s">
        <v>5</v>
      </c>
      <c r="AD19" s="9"/>
      <c r="AE19" s="9"/>
      <c r="AF19" s="9"/>
      <c r="AG19" s="9"/>
      <c r="AH19" s="9"/>
      <c r="AI19" s="9"/>
      <c r="AJ19" s="9"/>
      <c r="AL19" s="9" t="s">
        <v>6</v>
      </c>
      <c r="AM19" s="9"/>
      <c r="AN19" s="9"/>
      <c r="AO19" s="9"/>
      <c r="AP19" s="9"/>
      <c r="AQ19" s="9"/>
      <c r="AR19" s="9"/>
      <c r="AS19" s="9"/>
    </row>
    <row r="20" spans="1:69" ht="14.25" customHeight="1"/>
    <row r="22" spans="1:69" ht="14.25" customHeight="1"/>
    <row r="24" spans="1:69" ht="14.25" customHeight="1">
      <c r="B24" s="8" t="s">
        <v>7</v>
      </c>
      <c r="C24" s="8"/>
      <c r="D24" s="8"/>
      <c r="E24" s="8"/>
      <c r="F24" s="16" t="s">
        <v>8</v>
      </c>
      <c r="H24" s="13">
        <f>Report!H11</f>
        <v>84594</v>
      </c>
      <c r="I24" s="13"/>
      <c r="J24" s="16"/>
      <c r="K24" s="8" t="s">
        <v>7</v>
      </c>
      <c r="L24" s="8"/>
      <c r="M24" s="8"/>
      <c r="N24" s="8"/>
      <c r="O24" s="16" t="s">
        <v>8</v>
      </c>
      <c r="Q24" s="13">
        <f>Report!H13+Report!H14</f>
        <v>49169.809797909547</v>
      </c>
      <c r="R24" s="13"/>
      <c r="T24" s="8" t="s">
        <v>7</v>
      </c>
      <c r="U24" s="8"/>
      <c r="V24" s="8"/>
      <c r="W24" s="8"/>
      <c r="X24" s="16" t="s">
        <v>8</v>
      </c>
      <c r="Z24" s="13">
        <f>Report!O11</f>
        <v>63191.172280786348</v>
      </c>
      <c r="AA24" s="13"/>
      <c r="AC24" s="8" t="s">
        <v>7</v>
      </c>
      <c r="AD24" s="8"/>
      <c r="AE24" s="8"/>
      <c r="AF24" s="8"/>
      <c r="AG24" s="16" t="s">
        <v>8</v>
      </c>
      <c r="AI24" s="13">
        <f>Report!O21</f>
        <v>72939.35874115146</v>
      </c>
      <c r="AJ24" s="13"/>
      <c r="AL24" s="8" t="s">
        <v>7</v>
      </c>
      <c r="AM24" s="8"/>
      <c r="AN24" s="8"/>
      <c r="AO24" s="8"/>
      <c r="AP24" s="16" t="s">
        <v>8</v>
      </c>
      <c r="AR24" s="13">
        <f>Report!H21</f>
        <v>0</v>
      </c>
      <c r="AS24" s="13"/>
    </row>
    <row r="25" spans="1:69">
      <c r="F25" s="16"/>
      <c r="H25" s="17"/>
      <c r="I25" s="17"/>
      <c r="O25" s="16"/>
    </row>
    <row r="26" spans="1:69" ht="14.25" customHeight="1">
      <c r="B26" s="8" t="s">
        <v>9</v>
      </c>
      <c r="C26" s="8"/>
      <c r="D26" s="8"/>
      <c r="E26" s="8"/>
      <c r="F26" s="16" t="s">
        <v>10</v>
      </c>
      <c r="H26" s="13">
        <f>Report!G11</f>
        <v>84594</v>
      </c>
      <c r="I26" s="13"/>
      <c r="J26" s="16"/>
      <c r="K26" s="8" t="s">
        <v>9</v>
      </c>
      <c r="L26" s="8"/>
      <c r="M26" s="8"/>
      <c r="N26" s="8"/>
      <c r="O26" s="16" t="s">
        <v>10</v>
      </c>
      <c r="Q26" s="13">
        <f>Report!G13+Report!G14</f>
        <v>47870</v>
      </c>
      <c r="R26" s="13"/>
      <c r="T26" s="8" t="s">
        <v>9</v>
      </c>
      <c r="U26" s="8"/>
      <c r="V26" s="8"/>
      <c r="W26" s="8"/>
      <c r="X26" s="16" t="s">
        <v>10</v>
      </c>
      <c r="Z26" s="13">
        <f>Report!N11</f>
        <v>57667</v>
      </c>
      <c r="AA26" s="13"/>
      <c r="AC26" s="8" t="s">
        <v>9</v>
      </c>
      <c r="AD26" s="8"/>
      <c r="AE26" s="8"/>
      <c r="AF26" s="8"/>
      <c r="AG26" s="16" t="s">
        <v>10</v>
      </c>
      <c r="AI26" s="13">
        <f>Report!N21</f>
        <v>66563</v>
      </c>
      <c r="AJ26" s="13"/>
      <c r="AL26" s="8" t="s">
        <v>9</v>
      </c>
      <c r="AM26" s="8"/>
      <c r="AN26" s="8"/>
      <c r="AO26" s="8"/>
      <c r="AP26" s="16" t="s">
        <v>10</v>
      </c>
      <c r="AR26" s="13">
        <f>Report!G21</f>
        <v>0</v>
      </c>
      <c r="AS26" s="13"/>
      <c r="AW26" s="9" t="s">
        <v>11</v>
      </c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 t="s">
        <v>12</v>
      </c>
      <c r="BI26" s="9"/>
      <c r="BJ26" s="9"/>
      <c r="BK26" s="9" t="s">
        <v>13</v>
      </c>
      <c r="BL26" s="9"/>
      <c r="BM26" s="9"/>
      <c r="BN26" s="9" t="s">
        <v>14</v>
      </c>
      <c r="BO26" s="9"/>
      <c r="BP26" s="9" t="s">
        <v>15</v>
      </c>
      <c r="BQ26" s="9"/>
    </row>
    <row r="27" spans="1:69">
      <c r="F27" s="16"/>
      <c r="O27" s="16"/>
      <c r="AV27" s="9" t="s">
        <v>16</v>
      </c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13">
        <f>Report!O13</f>
        <v>31510.49429741755</v>
      </c>
      <c r="BI27" s="13"/>
      <c r="BJ27" s="13"/>
      <c r="BK27" s="13">
        <f>Report!N13</f>
        <v>28540</v>
      </c>
      <c r="BL27" s="13"/>
      <c r="BM27" s="13"/>
      <c r="BN27" s="12">
        <f>Report!P13</f>
        <v>0.13664454575000001</v>
      </c>
      <c r="BO27" s="12"/>
      <c r="BP27" s="13">
        <f>BK27*BN27</f>
        <v>3899.8353357050005</v>
      </c>
      <c r="BQ27" s="13"/>
    </row>
    <row r="28" spans="1:69" ht="14.25" customHeight="1">
      <c r="B28" s="8" t="s">
        <v>14</v>
      </c>
      <c r="C28" s="8"/>
      <c r="D28" s="8"/>
      <c r="E28" s="8"/>
      <c r="F28" s="16" t="s">
        <v>17</v>
      </c>
      <c r="H28" s="12">
        <f>Report!I11</f>
        <v>0.2685050933</v>
      </c>
      <c r="I28" s="12"/>
      <c r="J28" s="16"/>
      <c r="K28" s="8" t="s">
        <v>14</v>
      </c>
      <c r="L28" s="8"/>
      <c r="M28" s="8"/>
      <c r="N28" s="8"/>
      <c r="O28" s="16" t="s">
        <v>17</v>
      </c>
      <c r="Q28" s="12">
        <f>(Report!G13*Report!I13+Report!G14*Report!I14)/(Report!G13+Report!G14)</f>
        <v>0.46138467725088778</v>
      </c>
      <c r="R28" s="12"/>
      <c r="T28" s="8" t="s">
        <v>14</v>
      </c>
      <c r="U28" s="8"/>
      <c r="V28" s="8"/>
      <c r="W28" s="8"/>
      <c r="X28" s="16" t="s">
        <v>17</v>
      </c>
      <c r="Z28" s="12">
        <f>Report!P11</f>
        <v>0.6472</v>
      </c>
      <c r="AA28" s="12"/>
      <c r="AC28" s="8" t="s">
        <v>14</v>
      </c>
      <c r="AD28" s="8"/>
      <c r="AE28" s="8"/>
      <c r="AF28" s="8"/>
      <c r="AG28" s="16" t="s">
        <v>17</v>
      </c>
      <c r="AI28" s="12">
        <f>Report!P21</f>
        <v>0.64721222532</v>
      </c>
      <c r="AJ28" s="12"/>
      <c r="AL28" s="8" t="s">
        <v>14</v>
      </c>
      <c r="AM28" s="8"/>
      <c r="AN28" s="8"/>
      <c r="AO28" s="8"/>
      <c r="AP28" s="16" t="s">
        <v>17</v>
      </c>
      <c r="AR28" s="12">
        <f>Report!I21</f>
        <v>0</v>
      </c>
      <c r="AS28" s="12"/>
      <c r="AV28" s="9" t="s">
        <v>18</v>
      </c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13">
        <f>Report!O14</f>
        <v>11197.692710594645</v>
      </c>
      <c r="BI28" s="13"/>
      <c r="BJ28" s="13"/>
      <c r="BK28" s="13">
        <f>Report!N14</f>
        <v>10522.695793999999</v>
      </c>
      <c r="BL28" s="13"/>
      <c r="BM28" s="13"/>
      <c r="BN28" s="12">
        <f>Report!P14</f>
        <v>0.22467656641</v>
      </c>
      <c r="BO28" s="12"/>
      <c r="BP28" s="13">
        <f>BK28*BN28</f>
        <v>2364.2031603728688</v>
      </c>
      <c r="BQ28" s="13"/>
    </row>
    <row r="29" spans="1:69">
      <c r="F29" s="16"/>
      <c r="O29" s="16"/>
      <c r="AV29" s="9" t="s">
        <v>19</v>
      </c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13" t="s">
        <v>20</v>
      </c>
      <c r="BI29" s="13"/>
      <c r="BJ29" s="13"/>
      <c r="BK29" s="13">
        <f>Report!N15</f>
        <v>6698.3042057000002</v>
      </c>
      <c r="BL29" s="13"/>
      <c r="BM29" s="13"/>
      <c r="BN29" s="12">
        <f>Report!P15</f>
        <v>0.10987340284</v>
      </c>
      <c r="BO29" s="12"/>
      <c r="BP29" s="13">
        <f>BK29*BN29</f>
        <v>735.9654763377423</v>
      </c>
      <c r="BQ29" s="13"/>
    </row>
    <row r="30" spans="1:69">
      <c r="B30" s="8" t="s">
        <v>21</v>
      </c>
      <c r="C30" s="8"/>
      <c r="D30" s="8"/>
      <c r="E30" s="8"/>
      <c r="F30" s="16" t="s">
        <v>22</v>
      </c>
      <c r="H30" s="13">
        <f>H26*H28</f>
        <v>22713.919862620201</v>
      </c>
      <c r="I30" s="13"/>
      <c r="J30" s="16"/>
      <c r="K30" s="8" t="s">
        <v>21</v>
      </c>
      <c r="L30" s="8"/>
      <c r="M30" s="8"/>
      <c r="N30" s="8"/>
      <c r="O30" s="16" t="s">
        <v>22</v>
      </c>
      <c r="Q30" s="13">
        <f>Q26*Q28</f>
        <v>22086.484499999999</v>
      </c>
      <c r="R30" s="13"/>
      <c r="T30" s="8" t="s">
        <v>21</v>
      </c>
      <c r="U30" s="8"/>
      <c r="V30" s="8"/>
      <c r="W30" s="8"/>
      <c r="X30" s="16" t="s">
        <v>22</v>
      </c>
      <c r="Z30" s="13">
        <f>Z26*Z28</f>
        <v>37322.082399999999</v>
      </c>
      <c r="AA30" s="13"/>
      <c r="AC30" s="8" t="s">
        <v>21</v>
      </c>
      <c r="AD30" s="8"/>
      <c r="AE30" s="8"/>
      <c r="AF30" s="8"/>
      <c r="AG30" s="16" t="s">
        <v>22</v>
      </c>
      <c r="AI30" s="13">
        <f>AI26*AI28</f>
        <v>43080.387353975158</v>
      </c>
      <c r="AJ30" s="13"/>
      <c r="AL30" s="8" t="s">
        <v>21</v>
      </c>
      <c r="AM30" s="8"/>
      <c r="AN30" s="8"/>
      <c r="AO30" s="8"/>
      <c r="AP30" s="16" t="s">
        <v>22</v>
      </c>
      <c r="AR30" s="13">
        <f>AI26*AI28</f>
        <v>43080.387353975158</v>
      </c>
      <c r="AS30" s="13"/>
      <c r="AV30" s="9" t="s">
        <v>23</v>
      </c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13" t="s">
        <v>20</v>
      </c>
      <c r="BI30" s="13"/>
      <c r="BJ30" s="13"/>
      <c r="BK30" s="13">
        <f>Report!N16</f>
        <v>38863</v>
      </c>
      <c r="BL30" s="13"/>
      <c r="BM30" s="13"/>
      <c r="BN30" s="12">
        <f>Report!P16</f>
        <v>0.11596560113000001</v>
      </c>
      <c r="BO30" s="12"/>
      <c r="BP30" s="13">
        <f>BK30*BN30</f>
        <v>4506.77115671519</v>
      </c>
      <c r="BQ30" s="13"/>
    </row>
    <row r="32" spans="1:69">
      <c r="A32" s="10" t="s">
        <v>24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F32" s="10" t="s">
        <v>25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</row>
    <row r="33" spans="1:82">
      <c r="CD33" s="18"/>
    </row>
    <row r="34" spans="1:82">
      <c r="A34" s="10" t="s">
        <v>26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S34" s="10" t="s">
        <v>27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F34" s="10" t="s">
        <v>28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Y34" s="10" t="s">
        <v>29</v>
      </c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</row>
    <row r="35" spans="1:82">
      <c r="T35" s="19"/>
      <c r="BS35" s="19"/>
      <c r="BU35" s="19"/>
      <c r="BV35" s="19"/>
    </row>
    <row r="36" spans="1:82">
      <c r="J36" s="7" t="s">
        <v>12</v>
      </c>
      <c r="K36" s="7"/>
      <c r="L36" s="7" t="s">
        <v>13</v>
      </c>
      <c r="M36" s="7"/>
      <c r="N36" s="7" t="s">
        <v>30</v>
      </c>
      <c r="O36" s="7"/>
      <c r="P36" s="7" t="s">
        <v>15</v>
      </c>
      <c r="Q36" s="7"/>
      <c r="AA36" s="6" t="s">
        <v>12</v>
      </c>
      <c r="AB36" s="6"/>
      <c r="AC36" s="6" t="s">
        <v>13</v>
      </c>
      <c r="AD36" s="6"/>
      <c r="AF36" s="21"/>
      <c r="AG36" s="21"/>
      <c r="AL36" s="19"/>
      <c r="AO36" s="6" t="s">
        <v>12</v>
      </c>
      <c r="AP36" s="6"/>
      <c r="AQ36" s="6" t="s">
        <v>13</v>
      </c>
      <c r="AR36" s="6"/>
      <c r="AS36" s="6" t="s">
        <v>30</v>
      </c>
      <c r="AT36" s="6"/>
      <c r="AU36" s="6" t="s">
        <v>15</v>
      </c>
      <c r="AV36" s="6"/>
      <c r="AY36" s="19"/>
      <c r="AZ36" s="19"/>
      <c r="BG36" s="6" t="s">
        <v>12</v>
      </c>
      <c r="BH36" s="6"/>
      <c r="BI36" s="6" t="s">
        <v>13</v>
      </c>
      <c r="BJ36" s="6"/>
      <c r="BK36" s="6" t="s">
        <v>30</v>
      </c>
      <c r="BL36" s="6"/>
      <c r="BM36" s="6"/>
      <c r="BN36" s="6" t="s">
        <v>15</v>
      </c>
      <c r="BO36" s="6"/>
      <c r="BP36" s="6"/>
    </row>
    <row r="37" spans="1:82">
      <c r="B37" s="22" t="s">
        <v>31</v>
      </c>
      <c r="C37" s="23"/>
      <c r="J37" s="13">
        <f>L37</f>
        <v>56054</v>
      </c>
      <c r="K37" s="13"/>
      <c r="L37" s="13">
        <f>Flujos!G7</f>
        <v>56054</v>
      </c>
      <c r="M37" s="13"/>
      <c r="N37" s="12">
        <f>Flujos!H7</f>
        <v>0.33564214019999999</v>
      </c>
      <c r="O37" s="12"/>
      <c r="P37" s="13">
        <f>L37*N37</f>
        <v>18814.084526770799</v>
      </c>
      <c r="Q37" s="13"/>
      <c r="S37" s="22" t="s">
        <v>32</v>
      </c>
      <c r="T37" s="20"/>
      <c r="AA37" s="13">
        <f>'Datos Extra'!B1/(1-'Datos Extra'!D1)</f>
        <v>33494.695833333295</v>
      </c>
      <c r="AB37" s="13"/>
      <c r="AC37" s="13">
        <f>'Datos Extra'!B1</f>
        <v>33365.001688700373</v>
      </c>
      <c r="AD37" s="13"/>
      <c r="AF37" s="23" t="s">
        <v>33</v>
      </c>
      <c r="AG37" s="23"/>
      <c r="AL37" s="21"/>
      <c r="AO37" s="13">
        <f>AQ37/(1-'Datos Extra'!D27)</f>
        <v>72939.35874115146</v>
      </c>
      <c r="AP37" s="13"/>
      <c r="AQ37" s="13">
        <f>Flujos!G25</f>
        <v>66563</v>
      </c>
      <c r="AR37" s="13"/>
      <c r="AS37" s="12">
        <f>Flujos!H25</f>
        <v>0.64721222532</v>
      </c>
      <c r="AT37" s="12"/>
      <c r="AU37" s="13">
        <f t="shared" ref="AU37:AU44" si="0">AQ37*AS37</f>
        <v>43080.387353975158</v>
      </c>
      <c r="AV37" s="13"/>
      <c r="AY37" s="23" t="s">
        <v>34</v>
      </c>
      <c r="AZ37" s="24"/>
      <c r="BG37" s="13">
        <f>BI37/(1-'Datos Extra'!D23)</f>
        <v>0</v>
      </c>
      <c r="BH37" s="13"/>
      <c r="BI37" s="13">
        <f>'Mapa de Procesos'!P102</f>
        <v>0</v>
      </c>
      <c r="BJ37" s="13"/>
      <c r="BK37" s="12">
        <f>Flujos!H27</f>
        <v>0</v>
      </c>
      <c r="BL37" s="12"/>
      <c r="BM37" s="12"/>
      <c r="BN37" s="13">
        <f>BI37*BK37</f>
        <v>0</v>
      </c>
      <c r="BO37" s="13"/>
      <c r="BP37" s="13"/>
      <c r="BT37" s="25"/>
      <c r="BV37" s="25"/>
    </row>
    <row r="38" spans="1:82">
      <c r="B38" s="22" t="s">
        <v>35</v>
      </c>
      <c r="C38" s="23"/>
      <c r="J38" s="13">
        <f>L38/(1-'Datos Extra'!D47)</f>
        <v>69255.69994153906</v>
      </c>
      <c r="K38" s="13"/>
      <c r="L38" s="13">
        <f>Flujos!G10</f>
        <v>67525</v>
      </c>
      <c r="M38" s="13"/>
      <c r="N38" s="12">
        <f>Flujos!H10</f>
        <v>0.35526036392999999</v>
      </c>
      <c r="O38" s="12"/>
      <c r="P38" s="13">
        <f>L38*N38</f>
        <v>23988.956074373251</v>
      </c>
      <c r="Q38" s="13"/>
      <c r="S38" s="22" t="s">
        <v>36</v>
      </c>
      <c r="T38" s="20"/>
      <c r="AA38" s="13">
        <f>'Datos Extra'!B2/(1-'Datos Extra'!D2)</f>
        <v>22033.794333333328</v>
      </c>
      <c r="AB38" s="13"/>
      <c r="AC38" s="13">
        <f>'Datos Extra'!B2</f>
        <v>21178.287657595647</v>
      </c>
      <c r="AD38" s="13"/>
      <c r="AF38" s="23" t="s">
        <v>37</v>
      </c>
      <c r="AG38" s="23"/>
      <c r="AL38" s="21"/>
      <c r="AO38" s="13">
        <f>AQ38/(1-'Datos Extra'!D30)</f>
        <v>0</v>
      </c>
      <c r="AP38" s="13"/>
      <c r="AQ38" s="13">
        <f>Flujos!G35</f>
        <v>0</v>
      </c>
      <c r="AR38" s="13"/>
      <c r="AS38" s="12">
        <f>Flujos!H35</f>
        <v>0</v>
      </c>
      <c r="AT38" s="12"/>
      <c r="AU38" s="13">
        <f t="shared" si="0"/>
        <v>0</v>
      </c>
      <c r="AV38" s="13"/>
      <c r="AY38" s="26" t="s">
        <v>38</v>
      </c>
      <c r="AZ38" s="27"/>
      <c r="BG38" s="13">
        <f>BI38/(1-'Datos Extra'!D24)</f>
        <v>0</v>
      </c>
      <c r="BH38" s="13"/>
      <c r="BI38" s="13">
        <f>Flujos!G33</f>
        <v>0</v>
      </c>
      <c r="BJ38" s="13"/>
      <c r="BK38" s="12">
        <f>Flujos!H33</f>
        <v>0</v>
      </c>
      <c r="BL38" s="12"/>
      <c r="BM38" s="12"/>
      <c r="BN38" s="13">
        <f>BI38*BK38</f>
        <v>0</v>
      </c>
      <c r="BO38" s="13"/>
      <c r="BP38" s="13"/>
      <c r="BT38" s="25"/>
      <c r="BV38" s="25"/>
    </row>
    <row r="39" spans="1:82">
      <c r="B39" s="22" t="s">
        <v>39</v>
      </c>
      <c r="C39" s="23"/>
      <c r="J39" s="13">
        <f>'Datos Extra'!B48/(1-'Datos Extra'!D48)+Flujos!G15</f>
        <v>52227.488000000005</v>
      </c>
      <c r="K39" s="13"/>
      <c r="L39" s="13">
        <f>Flujos!G14+Flujos!G15</f>
        <v>50304</v>
      </c>
      <c r="M39" s="13"/>
      <c r="N39" s="12">
        <f>(Flujos!G14*Flujos!H14+Flujos!G15*Flujos!H15)/(Flujos!G15+Flujos!G14)</f>
        <v>0.41525102252978691</v>
      </c>
      <c r="O39" s="12"/>
      <c r="P39" s="13">
        <f>L39*N39</f>
        <v>20888.7874373384</v>
      </c>
      <c r="Q39" s="13"/>
      <c r="S39" s="22" t="s">
        <v>40</v>
      </c>
      <c r="T39" s="20"/>
      <c r="AA39" s="13">
        <f>'Datos Extra'!B3/(1-'Datos Extra'!D3)</f>
        <v>13532.791666666672</v>
      </c>
      <c r="AB39" s="13"/>
      <c r="AC39" s="13">
        <f>'Datos Extra'!B3</f>
        <v>12349.755019166671</v>
      </c>
      <c r="AD39" s="13"/>
      <c r="AF39" s="23" t="s">
        <v>41</v>
      </c>
      <c r="AG39" s="23"/>
      <c r="AL39" s="21"/>
      <c r="AO39" s="13">
        <f>AQ39/(1-'Datos Extra'!D31)</f>
        <v>0</v>
      </c>
      <c r="AP39" s="13"/>
      <c r="AQ39" s="13">
        <f>Flujos!G36</f>
        <v>0</v>
      </c>
      <c r="AR39" s="13"/>
      <c r="AS39" s="12">
        <f>Flujos!H36</f>
        <v>0</v>
      </c>
      <c r="AT39" s="12"/>
      <c r="AU39" s="13">
        <f t="shared" si="0"/>
        <v>0</v>
      </c>
      <c r="AV39" s="13"/>
      <c r="AY39" s="26" t="s">
        <v>42</v>
      </c>
      <c r="AZ39" s="27"/>
      <c r="BG39" s="13">
        <f>BI39/(1-'Datos Extra'!D25)</f>
        <v>0</v>
      </c>
      <c r="BH39" s="13"/>
      <c r="BI39" s="13">
        <f>Flujos!G40</f>
        <v>0</v>
      </c>
      <c r="BJ39" s="13"/>
      <c r="BK39" s="12">
        <f>Flujos!H40</f>
        <v>0</v>
      </c>
      <c r="BL39" s="12"/>
      <c r="BM39" s="12"/>
      <c r="BN39" s="13">
        <f>BI39*BK39</f>
        <v>0</v>
      </c>
      <c r="BO39" s="13"/>
      <c r="BP39" s="13"/>
      <c r="BT39" s="25"/>
      <c r="BV39" s="25"/>
    </row>
    <row r="40" spans="1:82">
      <c r="B40" s="22" t="s">
        <v>43</v>
      </c>
      <c r="C40" s="23"/>
      <c r="J40" s="13">
        <f>'Datos Extra'!B50/(1-'Datos Extra'!D50)+'Datos Extra'!B49/(1-'Datos Extra'!D49)+Flujos!G15</f>
        <v>100730.855</v>
      </c>
      <c r="K40" s="13"/>
      <c r="L40" s="13">
        <f>Flujos!G18+Flujos!G16+Flujos!G15</f>
        <v>96530</v>
      </c>
      <c r="M40" s="13"/>
      <c r="N40" s="12">
        <f>(Flujos!G15*Flujos!H15+Flujos!G16*Flujos!H16+Flujos!G18*Flujos!H18)/(Flujos!G18+Flujos!G16+Flujos!G15)</f>
        <v>0.43332490994473477</v>
      </c>
      <c r="O40" s="12"/>
      <c r="P40" s="13">
        <f>L40*N40</f>
        <v>41828.853556965245</v>
      </c>
      <c r="Q40" s="13"/>
      <c r="S40" s="22" t="s">
        <v>44</v>
      </c>
      <c r="T40" s="23"/>
      <c r="AA40" s="13">
        <f>'Datos Extra'!B4/(1-'Datos Extra'!D4)</f>
        <v>0</v>
      </c>
      <c r="AB40" s="13"/>
      <c r="AC40" s="13">
        <f>'Datos Extra'!B4</f>
        <v>0</v>
      </c>
      <c r="AD40" s="13"/>
      <c r="AF40" s="23" t="s">
        <v>45</v>
      </c>
      <c r="AG40" s="23"/>
      <c r="AL40" s="21"/>
      <c r="AO40" s="13">
        <f>AQ40/(1-'Datos Extra'!D39)</f>
        <v>2219.0812720848057</v>
      </c>
      <c r="AP40" s="13"/>
      <c r="AQ40" s="13">
        <f>Flujos!G57</f>
        <v>2198</v>
      </c>
      <c r="AR40" s="13"/>
      <c r="AS40" s="12">
        <f>Flujos!H57</f>
        <v>0.62729999999999997</v>
      </c>
      <c r="AT40" s="12"/>
      <c r="AU40" s="13">
        <f t="shared" si="0"/>
        <v>1378.8054</v>
      </c>
      <c r="AV40" s="13"/>
      <c r="AY40" s="26" t="s">
        <v>46</v>
      </c>
      <c r="AZ40" s="27"/>
      <c r="BG40" s="13">
        <f>BI40/(1-'Datos Extra'!D26)</f>
        <v>62.460277455127226</v>
      </c>
      <c r="BH40" s="13"/>
      <c r="BI40" s="13">
        <f>Flujos!G58</f>
        <v>57</v>
      </c>
      <c r="BJ40" s="13"/>
      <c r="BK40" s="12">
        <f>Flujos!H58</f>
        <v>0.6472</v>
      </c>
      <c r="BL40" s="12"/>
      <c r="BM40" s="12"/>
      <c r="BN40" s="13">
        <f>BI40*BK40</f>
        <v>36.8904</v>
      </c>
      <c r="BO40" s="13"/>
      <c r="BP40" s="13"/>
      <c r="BT40" s="25"/>
      <c r="BV40" s="25"/>
    </row>
    <row r="41" spans="1:82">
      <c r="B41" s="22" t="s">
        <v>47</v>
      </c>
      <c r="C41" s="23"/>
      <c r="J41" s="13">
        <f>L41/(1-'Datos Extra'!D28)</f>
        <v>63191.172280786348</v>
      </c>
      <c r="K41" s="13"/>
      <c r="L41" s="13">
        <f>Flujos!G20</f>
        <v>57667</v>
      </c>
      <c r="M41" s="13"/>
      <c r="N41" s="12">
        <f>Flujos!H20</f>
        <v>0.6472</v>
      </c>
      <c r="O41" s="12"/>
      <c r="P41" s="13">
        <f>L41*N41</f>
        <v>37322.082399999999</v>
      </c>
      <c r="Q41" s="13"/>
      <c r="T41" s="25"/>
      <c r="U41" s="25"/>
      <c r="V41" s="28"/>
      <c r="W41" s="25"/>
      <c r="AF41" s="23" t="s">
        <v>48</v>
      </c>
      <c r="AG41" s="23"/>
      <c r="AL41" s="21"/>
      <c r="AO41" s="13">
        <f>AQ41/(1-'Datos Extra'!D40)</f>
        <v>1660.7702415849592</v>
      </c>
      <c r="AP41" s="13"/>
      <c r="AQ41" s="13">
        <f>Flujos!G60</f>
        <v>1643</v>
      </c>
      <c r="AR41" s="13"/>
      <c r="AS41" s="12">
        <f>Flujos!H60</f>
        <v>0.61599999999999999</v>
      </c>
      <c r="AT41" s="12"/>
      <c r="AU41" s="13">
        <f t="shared" si="0"/>
        <v>1012.088</v>
      </c>
      <c r="AV41" s="13"/>
      <c r="AY41" s="26" t="s">
        <v>49</v>
      </c>
      <c r="AZ41" s="27"/>
      <c r="BG41" s="13">
        <f>BI41/(1-'Datos Extra'!D41)</f>
        <v>0</v>
      </c>
      <c r="BH41" s="13"/>
      <c r="BI41" s="13">
        <f>Flujos!G68</f>
        <v>0</v>
      </c>
      <c r="BJ41" s="13"/>
      <c r="BK41" s="12">
        <f>Flujos!H68</f>
        <v>0</v>
      </c>
      <c r="BL41" s="12"/>
      <c r="BM41" s="12"/>
      <c r="BN41" s="13">
        <f>BI41*BK41</f>
        <v>0</v>
      </c>
      <c r="BO41" s="13"/>
      <c r="BP41" s="13"/>
      <c r="BT41" s="25"/>
      <c r="BV41" s="25"/>
    </row>
    <row r="42" spans="1:82">
      <c r="AF42" s="23" t="s">
        <v>50</v>
      </c>
      <c r="AG42" s="23"/>
      <c r="AL42" s="29"/>
      <c r="AO42" s="13">
        <f>AQ42/(1-'Datos Extra'!D42)</f>
        <v>387.16814159292039</v>
      </c>
      <c r="AP42" s="13"/>
      <c r="AQ42" s="13">
        <f>Flujos!G66</f>
        <v>385</v>
      </c>
      <c r="AR42" s="13"/>
      <c r="AS42" s="12">
        <f>Flujos!H66</f>
        <v>0.62829999999999997</v>
      </c>
      <c r="AT42" s="12"/>
      <c r="AU42" s="13">
        <f t="shared" si="0"/>
        <v>241.8955</v>
      </c>
      <c r="AV42" s="13"/>
    </row>
    <row r="43" spans="1:82">
      <c r="AF43" s="23" t="s">
        <v>51</v>
      </c>
      <c r="AG43" s="23"/>
      <c r="AO43" s="13">
        <f>AQ43/(1-'Datos Extra'!D43)</f>
        <v>360.37849808737673</v>
      </c>
      <c r="AP43" s="13"/>
      <c r="AQ43" s="13">
        <f>Flujos!G67</f>
        <v>358</v>
      </c>
      <c r="AR43" s="13"/>
      <c r="AS43" s="12">
        <f>Flujos!H67</f>
        <v>0.61520000000000008</v>
      </c>
      <c r="AT43" s="12"/>
      <c r="AU43" s="13">
        <f t="shared" si="0"/>
        <v>220.24160000000003</v>
      </c>
      <c r="AV43" s="13"/>
    </row>
    <row r="44" spans="1:82">
      <c r="H44" s="21"/>
      <c r="AF44" s="23" t="s">
        <v>52</v>
      </c>
      <c r="AG44" s="23"/>
      <c r="AO44" s="13">
        <f>AQ44/(1-'Datos Extra'!D41)</f>
        <v>1354.3467208947636</v>
      </c>
      <c r="AP44" s="13"/>
      <c r="AQ44" s="13">
        <f>Flujos!G65</f>
        <v>1332</v>
      </c>
      <c r="AR44" s="13"/>
      <c r="AS44" s="12">
        <f>Flujos!H65</f>
        <v>0.53029999999999999</v>
      </c>
      <c r="AT44" s="12"/>
      <c r="AU44" s="13">
        <f t="shared" si="0"/>
        <v>706.3596</v>
      </c>
      <c r="AV44" s="13"/>
    </row>
    <row r="45" spans="1:82" ht="14.25" customHeight="1"/>
    <row r="46" spans="1:82">
      <c r="B46" s="21"/>
      <c r="C46" s="21"/>
      <c r="H46" s="19"/>
      <c r="L46" s="7"/>
      <c r="M46" s="7"/>
      <c r="N46" s="19"/>
      <c r="O46" s="19"/>
      <c r="U46" s="19"/>
      <c r="V46" s="19"/>
    </row>
    <row r="47" spans="1:82" ht="14.25" customHeight="1">
      <c r="A47" s="10" t="s">
        <v>53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</row>
    <row r="48" spans="1:82">
      <c r="T48" s="25"/>
      <c r="AL48" s="19"/>
      <c r="AM48" s="19"/>
    </row>
    <row r="49" spans="2:66">
      <c r="E49" s="5" t="s">
        <v>54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Z49" s="5" t="s">
        <v>55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V49" s="5" t="s">
        <v>56</v>
      </c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</row>
    <row r="50" spans="2:66">
      <c r="E50" s="5" t="s">
        <v>57</v>
      </c>
      <c r="F50" s="5"/>
      <c r="G50" s="5"/>
      <c r="H50" s="5"/>
      <c r="I50" s="5"/>
      <c r="J50" s="5" t="s">
        <v>58</v>
      </c>
      <c r="K50" s="5"/>
      <c r="L50" s="5"/>
      <c r="M50" s="5"/>
      <c r="N50" s="5" t="s">
        <v>59</v>
      </c>
      <c r="O50" s="5"/>
      <c r="P50" s="5"/>
      <c r="Q50" s="5"/>
      <c r="R50" s="5" t="s">
        <v>60</v>
      </c>
      <c r="S50" s="5"/>
      <c r="T50" s="5"/>
      <c r="U50" s="5"/>
      <c r="V50" s="5" t="s">
        <v>61</v>
      </c>
      <c r="W50" s="5"/>
      <c r="Z50" s="5" t="s">
        <v>57</v>
      </c>
      <c r="AA50" s="5"/>
      <c r="AB50" s="5"/>
      <c r="AC50" s="5"/>
      <c r="AD50" s="5"/>
      <c r="AE50" s="5" t="s">
        <v>58</v>
      </c>
      <c r="AF50" s="5"/>
      <c r="AG50" s="5"/>
      <c r="AH50" s="5"/>
      <c r="AI50" s="5" t="s">
        <v>59</v>
      </c>
      <c r="AJ50" s="5"/>
      <c r="AK50" s="5"/>
      <c r="AL50" s="5"/>
      <c r="AM50" s="5" t="s">
        <v>60</v>
      </c>
      <c r="AN50" s="5"/>
      <c r="AO50" s="5"/>
      <c r="AP50" s="5"/>
      <c r="AQ50" s="5" t="s">
        <v>61</v>
      </c>
      <c r="AR50" s="5"/>
      <c r="AV50" s="5" t="s">
        <v>57</v>
      </c>
      <c r="AW50" s="5"/>
      <c r="AX50" s="5"/>
      <c r="AY50" s="5"/>
      <c r="AZ50" s="5"/>
      <c r="BA50" s="5" t="s">
        <v>58</v>
      </c>
      <c r="BB50" s="5"/>
      <c r="BC50" s="5"/>
      <c r="BD50" s="5"/>
      <c r="BE50" s="5" t="s">
        <v>59</v>
      </c>
      <c r="BF50" s="5"/>
      <c r="BG50" s="5"/>
      <c r="BH50" s="5"/>
      <c r="BI50" s="5" t="s">
        <v>60</v>
      </c>
      <c r="BJ50" s="5"/>
      <c r="BK50" s="5"/>
      <c r="BL50" s="5"/>
      <c r="BM50" s="5" t="s">
        <v>61</v>
      </c>
      <c r="BN50" s="5"/>
    </row>
    <row r="51" spans="2:66">
      <c r="E51" s="5" t="s">
        <v>62</v>
      </c>
      <c r="F51" s="5"/>
      <c r="G51" s="5"/>
      <c r="H51" s="5"/>
      <c r="I51" s="5"/>
      <c r="J51" s="13">
        <v>65200</v>
      </c>
      <c r="K51" s="13"/>
      <c r="L51" s="13"/>
      <c r="M51" s="13"/>
      <c r="N51" s="13">
        <v>65407</v>
      </c>
      <c r="O51" s="13"/>
      <c r="P51" s="13"/>
      <c r="Q51" s="13"/>
      <c r="R51" s="13">
        <f>IF(N51=0,"",N51-J51)</f>
        <v>207</v>
      </c>
      <c r="S51" s="13"/>
      <c r="T51" s="13"/>
      <c r="U51" s="13"/>
      <c r="V51" s="4">
        <f>IFERROR(R51/N51,"")</f>
        <v>3.1647988747381781E-3</v>
      </c>
      <c r="W51" s="4"/>
      <c r="Z51" s="5" t="s">
        <v>62</v>
      </c>
      <c r="AA51" s="5"/>
      <c r="AB51" s="5"/>
      <c r="AC51" s="5"/>
      <c r="AD51" s="5"/>
      <c r="AE51" s="13">
        <v>54430</v>
      </c>
      <c r="AF51" s="13"/>
      <c r="AG51" s="13"/>
      <c r="AH51" s="13"/>
      <c r="AI51" s="13">
        <v>54106</v>
      </c>
      <c r="AJ51" s="13"/>
      <c r="AK51" s="13"/>
      <c r="AL51" s="13"/>
      <c r="AM51" s="13">
        <f>IF(AI51=0,"",AI51-AE51)</f>
        <v>-324</v>
      </c>
      <c r="AN51" s="13"/>
      <c r="AO51" s="13"/>
      <c r="AP51" s="13"/>
      <c r="AQ51" s="4">
        <f>IFERROR(AM51/AI51,"")</f>
        <v>-5.988245296270284E-3</v>
      </c>
      <c r="AR51" s="4"/>
      <c r="AV51" s="5"/>
      <c r="AW51" s="5"/>
      <c r="AX51" s="5"/>
      <c r="AY51" s="5"/>
      <c r="AZ51" s="5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3" t="str">
        <f>IFERROR(BI51/BE51,"")</f>
        <v/>
      </c>
      <c r="BN51" s="3"/>
    </row>
    <row r="52" spans="2:66">
      <c r="E52" s="5"/>
      <c r="F52" s="5"/>
      <c r="G52" s="5"/>
      <c r="H52" s="5"/>
      <c r="I52" s="5"/>
      <c r="J52" s="13"/>
      <c r="K52" s="13"/>
      <c r="L52" s="13"/>
      <c r="M52" s="13"/>
      <c r="N52" s="13"/>
      <c r="O52" s="13"/>
      <c r="P52" s="13"/>
      <c r="Q52" s="13"/>
      <c r="R52" s="13" t="str">
        <f>IF(N52=0,"",N52-J52)</f>
        <v/>
      </c>
      <c r="S52" s="13"/>
      <c r="T52" s="13"/>
      <c r="U52" s="13"/>
      <c r="V52" s="3" t="str">
        <f>IFERROR(R52/N52,"")</f>
        <v/>
      </c>
      <c r="W52" s="3"/>
      <c r="Z52" s="5"/>
      <c r="AA52" s="5"/>
      <c r="AB52" s="5"/>
      <c r="AC52" s="5"/>
      <c r="AD52" s="5"/>
      <c r="AE52" s="13"/>
      <c r="AF52" s="13"/>
      <c r="AG52" s="13"/>
      <c r="AH52" s="13"/>
      <c r="AI52" s="13"/>
      <c r="AJ52" s="13"/>
      <c r="AK52" s="13"/>
      <c r="AL52" s="13"/>
      <c r="AM52" s="13" t="str">
        <f>IF(AI52=0,"",AI52-AE52)</f>
        <v/>
      </c>
      <c r="AN52" s="13"/>
      <c r="AO52" s="13"/>
      <c r="AP52" s="13"/>
      <c r="AQ52" s="3" t="str">
        <f>IFERROR(AM52/AI52,"")</f>
        <v/>
      </c>
      <c r="AR52" s="3"/>
      <c r="AV52" s="5"/>
      <c r="AW52" s="5"/>
      <c r="AX52" s="5"/>
      <c r="AY52" s="5"/>
      <c r="AZ52" s="5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3" t="str">
        <f>IFERROR(BI52/BE52,"")</f>
        <v/>
      </c>
      <c r="BN52" s="3"/>
    </row>
    <row r="53" spans="2:66">
      <c r="E53" s="5" t="s">
        <v>63</v>
      </c>
      <c r="F53" s="5"/>
      <c r="G53" s="5"/>
      <c r="H53" s="5"/>
      <c r="I53" s="5"/>
      <c r="J53" s="13">
        <f>IF(AND(J51="",J52=""),"",SUM(J51:M52))</f>
        <v>65200</v>
      </c>
      <c r="K53" s="13"/>
      <c r="L53" s="13"/>
      <c r="M53" s="13"/>
      <c r="N53" s="13">
        <f>IF(AND(N51="",N52=""),"",SUM(N51:Q52))</f>
        <v>65407</v>
      </c>
      <c r="O53" s="13"/>
      <c r="P53" s="13"/>
      <c r="Q53" s="13"/>
      <c r="R53" s="13">
        <f>IF(AND(R51="",R52=""),"",SUM(R51:U52))</f>
        <v>207</v>
      </c>
      <c r="S53" s="13"/>
      <c r="T53" s="13"/>
      <c r="U53" s="13"/>
      <c r="V53" s="4">
        <f>IFERROR(R53/N53,"")</f>
        <v>3.1647988747381781E-3</v>
      </c>
      <c r="W53" s="4"/>
      <c r="Z53" s="5" t="s">
        <v>63</v>
      </c>
      <c r="AA53" s="5"/>
      <c r="AB53" s="5"/>
      <c r="AC53" s="5"/>
      <c r="AD53" s="5"/>
      <c r="AE53" s="13">
        <f>IF(AND(AE51="",AE52=""),"",SUM(AE51:AH52))</f>
        <v>54430</v>
      </c>
      <c r="AF53" s="13"/>
      <c r="AG53" s="13"/>
      <c r="AH53" s="13"/>
      <c r="AI53" s="13">
        <f>IF(AND(AI51="",AI52=""),"",SUM(AI51:AL52))</f>
        <v>54106</v>
      </c>
      <c r="AJ53" s="13"/>
      <c r="AK53" s="13"/>
      <c r="AL53" s="13"/>
      <c r="AM53" s="13">
        <f>IF(AND(AM51="",AM52=""),"",SUM(AM51:AP52))</f>
        <v>-324</v>
      </c>
      <c r="AN53" s="13"/>
      <c r="AO53" s="13"/>
      <c r="AP53" s="13"/>
      <c r="AQ53" s="4">
        <f>IFERROR(AM53/AI53,"")</f>
        <v>-5.988245296270284E-3</v>
      </c>
      <c r="AR53" s="4"/>
      <c r="AV53" s="5" t="s">
        <v>63</v>
      </c>
      <c r="AW53" s="5"/>
      <c r="AX53" s="5"/>
      <c r="AY53" s="5"/>
      <c r="AZ53" s="5"/>
      <c r="BA53" s="13" t="str">
        <f>IF(AND(BA51="",BA52=""),"",SUM(BA51:BD52))</f>
        <v/>
      </c>
      <c r="BB53" s="13"/>
      <c r="BC53" s="13"/>
      <c r="BD53" s="13"/>
      <c r="BE53" s="13" t="str">
        <f>IF(AND(BE51="",BE52=""),"",SUM(BE51:BH52))</f>
        <v/>
      </c>
      <c r="BF53" s="13"/>
      <c r="BG53" s="13"/>
      <c r="BH53" s="13"/>
      <c r="BI53" s="13" t="str">
        <f>IF(AND(BI51="",BI52=""),"",SUM(BI51:BL52))</f>
        <v/>
      </c>
      <c r="BJ53" s="13"/>
      <c r="BK53" s="13"/>
      <c r="BL53" s="13"/>
      <c r="BM53" s="3" t="str">
        <f>IFERROR(BI53/BE53,"")</f>
        <v/>
      </c>
      <c r="BN53" s="3"/>
    </row>
    <row r="54" spans="2:66">
      <c r="T54" s="25"/>
    </row>
    <row r="57" spans="2:66">
      <c r="B57" s="30"/>
    </row>
    <row r="60" spans="2:66" ht="14.25" customHeight="1"/>
    <row r="61" spans="2:66">
      <c r="C61" s="31"/>
      <c r="H61" s="31"/>
      <c r="L61" s="31"/>
    </row>
    <row r="62" spans="2:66">
      <c r="C62" s="31"/>
      <c r="H62" s="31"/>
      <c r="L62" s="31"/>
    </row>
    <row r="63" spans="2:66">
      <c r="C63" s="31"/>
      <c r="H63" s="31"/>
      <c r="L63" s="31"/>
    </row>
  </sheetData>
  <mergeCells count="247">
    <mergeCell ref="AQ53:AR53"/>
    <mergeCell ref="AV53:AZ53"/>
    <mergeCell ref="BA53:BD53"/>
    <mergeCell ref="BE53:BH53"/>
    <mergeCell ref="BI53:BL53"/>
    <mergeCell ref="BM53:BN53"/>
    <mergeCell ref="E53:I53"/>
    <mergeCell ref="J53:M53"/>
    <mergeCell ref="N53:Q53"/>
    <mergeCell ref="R53:U53"/>
    <mergeCell ref="V53:W53"/>
    <mergeCell ref="Z53:AD53"/>
    <mergeCell ref="AE53:AH53"/>
    <mergeCell ref="AI53:AL53"/>
    <mergeCell ref="AM53:AP53"/>
    <mergeCell ref="AQ51:AR51"/>
    <mergeCell ref="AV51:AZ51"/>
    <mergeCell ref="BA51:BD51"/>
    <mergeCell ref="BE51:BH51"/>
    <mergeCell ref="BI51:BL51"/>
    <mergeCell ref="BM51:BN51"/>
    <mergeCell ref="E52:I52"/>
    <mergeCell ref="J52:M52"/>
    <mergeCell ref="N52:Q52"/>
    <mergeCell ref="R52:U52"/>
    <mergeCell ref="V52:W52"/>
    <mergeCell ref="Z52:AD52"/>
    <mergeCell ref="AE52:AH52"/>
    <mergeCell ref="AI52:AL52"/>
    <mergeCell ref="AM52:AP52"/>
    <mergeCell ref="AQ52:AR52"/>
    <mergeCell ref="AV52:AZ52"/>
    <mergeCell ref="BA52:BD52"/>
    <mergeCell ref="BE52:BH52"/>
    <mergeCell ref="BI52:BL52"/>
    <mergeCell ref="BM52:BN52"/>
    <mergeCell ref="E51:I51"/>
    <mergeCell ref="J51:M51"/>
    <mergeCell ref="N51:Q51"/>
    <mergeCell ref="R51:U51"/>
    <mergeCell ref="V51:W51"/>
    <mergeCell ref="Z51:AD51"/>
    <mergeCell ref="AE51:AH51"/>
    <mergeCell ref="AI51:AL51"/>
    <mergeCell ref="AM51:AP51"/>
    <mergeCell ref="L46:M46"/>
    <mergeCell ref="A47:BQ47"/>
    <mergeCell ref="E49:W49"/>
    <mergeCell ref="Z49:AR49"/>
    <mergeCell ref="AV49:BN49"/>
    <mergeCell ref="E50:I50"/>
    <mergeCell ref="J50:M50"/>
    <mergeCell ref="N50:Q50"/>
    <mergeCell ref="R50:U50"/>
    <mergeCell ref="V50:W50"/>
    <mergeCell ref="Z50:AD50"/>
    <mergeCell ref="AE50:AH50"/>
    <mergeCell ref="AI50:AL50"/>
    <mergeCell ref="AM50:AP50"/>
    <mergeCell ref="AQ50:AR50"/>
    <mergeCell ref="AV50:AZ50"/>
    <mergeCell ref="BA50:BD50"/>
    <mergeCell ref="BE50:BH50"/>
    <mergeCell ref="BI50:BL50"/>
    <mergeCell ref="BM50:BN50"/>
    <mergeCell ref="AO42:AP42"/>
    <mergeCell ref="AQ42:AR42"/>
    <mergeCell ref="AS42:AT42"/>
    <mergeCell ref="AU42:AV42"/>
    <mergeCell ref="AO43:AP43"/>
    <mergeCell ref="AQ43:AR43"/>
    <mergeCell ref="AS43:AT43"/>
    <mergeCell ref="AU43:AV43"/>
    <mergeCell ref="AO44:AP44"/>
    <mergeCell ref="AQ44:AR44"/>
    <mergeCell ref="AS44:AT44"/>
    <mergeCell ref="AU44:AV44"/>
    <mergeCell ref="AU40:AV40"/>
    <mergeCell ref="BG40:BH40"/>
    <mergeCell ref="BI40:BJ40"/>
    <mergeCell ref="BK40:BM40"/>
    <mergeCell ref="BN40:BP40"/>
    <mergeCell ref="J41:K41"/>
    <mergeCell ref="L41:M41"/>
    <mergeCell ref="N41:O41"/>
    <mergeCell ref="P41:Q41"/>
    <mergeCell ref="AO41:AP41"/>
    <mergeCell ref="AQ41:AR41"/>
    <mergeCell ref="AS41:AT41"/>
    <mergeCell ref="AU41:AV41"/>
    <mergeCell ref="BG41:BH41"/>
    <mergeCell ref="BI41:BJ41"/>
    <mergeCell ref="BK41:BM41"/>
    <mergeCell ref="BN41:BP41"/>
    <mergeCell ref="J40:K40"/>
    <mergeCell ref="L40:M40"/>
    <mergeCell ref="N40:O40"/>
    <mergeCell ref="P40:Q40"/>
    <mergeCell ref="AA40:AB40"/>
    <mergeCell ref="AC40:AD40"/>
    <mergeCell ref="AO40:AP40"/>
    <mergeCell ref="AQ40:AR40"/>
    <mergeCell ref="AS40:AT40"/>
    <mergeCell ref="AU38:AV38"/>
    <mergeCell ref="BG38:BH38"/>
    <mergeCell ref="BI38:BJ38"/>
    <mergeCell ref="BK38:BM38"/>
    <mergeCell ref="BN38:BP38"/>
    <mergeCell ref="J39:K39"/>
    <mergeCell ref="L39:M39"/>
    <mergeCell ref="N39:O39"/>
    <mergeCell ref="P39:Q39"/>
    <mergeCell ref="AA39:AB39"/>
    <mergeCell ref="AC39:AD39"/>
    <mergeCell ref="AO39:AP39"/>
    <mergeCell ref="AQ39:AR39"/>
    <mergeCell ref="AS39:AT39"/>
    <mergeCell ref="AU39:AV39"/>
    <mergeCell ref="BG39:BH39"/>
    <mergeCell ref="BI39:BJ39"/>
    <mergeCell ref="BK39:BM39"/>
    <mergeCell ref="BN39:BP39"/>
    <mergeCell ref="J38:K38"/>
    <mergeCell ref="L38:M38"/>
    <mergeCell ref="N38:O38"/>
    <mergeCell ref="P38:Q38"/>
    <mergeCell ref="AA38:AB38"/>
    <mergeCell ref="AC38:AD38"/>
    <mergeCell ref="AO38:AP38"/>
    <mergeCell ref="AQ38:AR38"/>
    <mergeCell ref="AS38:AT38"/>
    <mergeCell ref="AU36:AV36"/>
    <mergeCell ref="BG36:BH36"/>
    <mergeCell ref="BI36:BJ36"/>
    <mergeCell ref="BK36:BM36"/>
    <mergeCell ref="BN36:BP36"/>
    <mergeCell ref="J37:K37"/>
    <mergeCell ref="L37:M37"/>
    <mergeCell ref="N37:O37"/>
    <mergeCell ref="P37:Q37"/>
    <mergeCell ref="AA37:AB37"/>
    <mergeCell ref="AC37:AD37"/>
    <mergeCell ref="AO37:AP37"/>
    <mergeCell ref="AQ37:AR37"/>
    <mergeCell ref="AS37:AT37"/>
    <mergeCell ref="AU37:AV37"/>
    <mergeCell ref="BG37:BH37"/>
    <mergeCell ref="BI37:BJ37"/>
    <mergeCell ref="BK37:BM37"/>
    <mergeCell ref="BN37:BP37"/>
    <mergeCell ref="J36:K36"/>
    <mergeCell ref="L36:M36"/>
    <mergeCell ref="N36:O36"/>
    <mergeCell ref="P36:Q36"/>
    <mergeCell ref="AA36:AB36"/>
    <mergeCell ref="AC36:AD36"/>
    <mergeCell ref="AO36:AP36"/>
    <mergeCell ref="AQ36:AR36"/>
    <mergeCell ref="AS36:AT36"/>
    <mergeCell ref="AR30:AS30"/>
    <mergeCell ref="AV30:BG30"/>
    <mergeCell ref="BH30:BJ30"/>
    <mergeCell ref="BK30:BM30"/>
    <mergeCell ref="BN30:BO30"/>
    <mergeCell ref="BP30:BQ30"/>
    <mergeCell ref="A32:AD32"/>
    <mergeCell ref="AF32:BQ32"/>
    <mergeCell ref="A34:Q34"/>
    <mergeCell ref="S34:AD34"/>
    <mergeCell ref="AF34:AW34"/>
    <mergeCell ref="AY34:BQ34"/>
    <mergeCell ref="B30:E30"/>
    <mergeCell ref="H30:I30"/>
    <mergeCell ref="K30:N30"/>
    <mergeCell ref="Q30:R30"/>
    <mergeCell ref="T30:W30"/>
    <mergeCell ref="Z30:AA30"/>
    <mergeCell ref="AC30:AF30"/>
    <mergeCell ref="AI30:AJ30"/>
    <mergeCell ref="AL30:AO30"/>
    <mergeCell ref="AR28:AS28"/>
    <mergeCell ref="AV28:BG28"/>
    <mergeCell ref="BH28:BJ28"/>
    <mergeCell ref="BK28:BM28"/>
    <mergeCell ref="BN28:BO28"/>
    <mergeCell ref="BP28:BQ28"/>
    <mergeCell ref="AV29:BG29"/>
    <mergeCell ref="BH29:BJ29"/>
    <mergeCell ref="BK29:BM29"/>
    <mergeCell ref="BN29:BO29"/>
    <mergeCell ref="BP29:BQ29"/>
    <mergeCell ref="B28:E28"/>
    <mergeCell ref="H28:I28"/>
    <mergeCell ref="K28:N28"/>
    <mergeCell ref="Q28:R28"/>
    <mergeCell ref="T28:W28"/>
    <mergeCell ref="Z28:AA28"/>
    <mergeCell ref="AC28:AF28"/>
    <mergeCell ref="AI28:AJ28"/>
    <mergeCell ref="AL28:AO28"/>
    <mergeCell ref="AR26:AS26"/>
    <mergeCell ref="AW26:BG26"/>
    <mergeCell ref="BH26:BJ26"/>
    <mergeCell ref="BK26:BM26"/>
    <mergeCell ref="BN26:BO26"/>
    <mergeCell ref="BP26:BQ26"/>
    <mergeCell ref="AV27:BG27"/>
    <mergeCell ref="BH27:BJ27"/>
    <mergeCell ref="BK27:BM27"/>
    <mergeCell ref="BN27:BO27"/>
    <mergeCell ref="BP27:BQ27"/>
    <mergeCell ref="B26:E26"/>
    <mergeCell ref="H26:I26"/>
    <mergeCell ref="K26:N26"/>
    <mergeCell ref="Q26:R26"/>
    <mergeCell ref="T26:W26"/>
    <mergeCell ref="Z26:AA26"/>
    <mergeCell ref="AC26:AF26"/>
    <mergeCell ref="AI26:AJ26"/>
    <mergeCell ref="AL26:AO26"/>
    <mergeCell ref="A17:AS17"/>
    <mergeCell ref="AU17:BQ17"/>
    <mergeCell ref="B19:I19"/>
    <mergeCell ref="K19:R19"/>
    <mergeCell ref="T19:AA19"/>
    <mergeCell ref="AC19:AJ19"/>
    <mergeCell ref="AL19:AS19"/>
    <mergeCell ref="B24:E24"/>
    <mergeCell ref="H24:I24"/>
    <mergeCell ref="K24:N24"/>
    <mergeCell ref="Q24:R24"/>
    <mergeCell ref="T24:W24"/>
    <mergeCell ref="Z24:AA24"/>
    <mergeCell ref="AC24:AF24"/>
    <mergeCell ref="AI24:AJ24"/>
    <mergeCell ref="AL24:AO24"/>
    <mergeCell ref="AR24:AS24"/>
    <mergeCell ref="AD14:AG15"/>
    <mergeCell ref="AN14:AS15"/>
    <mergeCell ref="AY14:BD15"/>
    <mergeCell ref="BK14:BP15"/>
    <mergeCell ref="D15:E15"/>
    <mergeCell ref="J15:L15"/>
    <mergeCell ref="Q15:R15"/>
    <mergeCell ref="W15:X15"/>
    <mergeCell ref="AY16:AZ16"/>
    <mergeCell ref="BL16:BM16"/>
  </mergeCells>
  <pageMargins left="0.78749999999999998" right="0.78749999999999998" top="1.05277777777778" bottom="1.05277777777778" header="0.78749999999999998" footer="0.78749999999999998"/>
  <pageSetup scale="46" orientation="landscape" horizontalDpi="300" verticalDpi="300" r:id="rId1"/>
  <headerFooter>
    <oddHeader>&amp;C&amp;"Times New Roman,Normal"&amp;12&amp;Kffffff&amp;A</oddHeader>
    <oddFooter>&amp;C&amp;"Times New Roman,Normal"&amp;12&amp;KffffffPágina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XC49"/>
  <sheetViews>
    <sheetView topLeftCell="D1" zoomScale="110" zoomScaleNormal="110" workbookViewId="0">
      <selection activeCell="P6" sqref="P6"/>
    </sheetView>
  </sheetViews>
  <sheetFormatPr baseColWidth="10" defaultColWidth="6.5546875" defaultRowHeight="15" customHeight="1"/>
  <cols>
    <col min="1" max="2" width="2.44140625" style="32" customWidth="1"/>
    <col min="3" max="3" width="15.5546875" style="32" hidden="1" customWidth="1"/>
    <col min="4" max="5" width="12.44140625" style="32" customWidth="1"/>
    <col min="6" max="6" width="15.5546875" style="32" customWidth="1"/>
    <col min="7" max="8" width="12" style="32" customWidth="1"/>
    <col min="9" max="9" width="14.77734375" style="32" customWidth="1"/>
    <col min="10" max="10" width="15.6640625" style="32" customWidth="1"/>
    <col min="11" max="13" width="13" style="32" customWidth="1"/>
    <col min="14" max="15" width="14.5546875" style="32" customWidth="1"/>
    <col min="16" max="17" width="13.44140625" style="32" customWidth="1"/>
    <col min="18" max="18" width="2.44140625" style="32" customWidth="1"/>
    <col min="19" max="19" width="13.44140625" style="32" customWidth="1"/>
    <col min="20" max="20" width="10.5546875" style="32" customWidth="1"/>
    <col min="21" max="21" width="12" style="32" customWidth="1"/>
    <col min="22" max="22" width="11.44140625" style="32" customWidth="1"/>
    <col min="23" max="23" width="16" style="32" customWidth="1"/>
    <col min="24" max="25" width="10.5546875" style="32" customWidth="1"/>
    <col min="26" max="26" width="15.5546875" style="32" customWidth="1"/>
    <col min="27" max="27" width="11.44140625" style="32" customWidth="1"/>
    <col min="28" max="28" width="12" style="32" customWidth="1"/>
    <col min="29" max="29" width="11.44140625" style="32" customWidth="1"/>
    <col min="30" max="30" width="12" style="32" customWidth="1"/>
    <col min="31" max="31" width="11.44140625" style="32" customWidth="1"/>
    <col min="32" max="32" width="12.44140625" style="32" customWidth="1"/>
    <col min="33" max="33" width="10.5546875" style="32" customWidth="1"/>
    <col min="34" max="34" width="19" style="32" customWidth="1"/>
    <col min="35" max="35" width="13.44140625" style="32" customWidth="1"/>
    <col min="36" max="36" width="18" style="32" customWidth="1"/>
    <col min="37" max="37" width="42.44140625" style="32" customWidth="1"/>
    <col min="38" max="38" width="31" style="32" customWidth="1"/>
    <col min="39" max="39" width="35" style="32" customWidth="1"/>
    <col min="40" max="40" width="31" style="32" customWidth="1"/>
    <col min="41" max="41" width="35" style="32" customWidth="1"/>
    <col min="42" max="42" width="31" style="32" customWidth="1"/>
    <col min="43" max="43" width="37.44140625" style="32" customWidth="1"/>
    <col min="44" max="44" width="11.44140625" style="32" customWidth="1"/>
    <col min="45" max="45" width="54" style="32" customWidth="1"/>
    <col min="46" max="46" width="43.5546875" style="32" customWidth="1"/>
    <col min="47" max="47" width="44.5546875" style="32" customWidth="1"/>
    <col min="48" max="257" width="6.5546875" style="32"/>
    <col min="258" max="259" width="2.44140625" style="32" customWidth="1"/>
    <col min="260" max="260" width="11.5546875" style="32" hidden="1" customWidth="1"/>
    <col min="261" max="263" width="12.44140625" style="32" customWidth="1"/>
    <col min="264" max="264" width="12" style="32" customWidth="1"/>
    <col min="265" max="265" width="12.44140625" style="32" customWidth="1"/>
    <col min="266" max="266" width="13.44140625" style="32" customWidth="1"/>
    <col min="267" max="267" width="11.5546875" style="32" hidden="1" customWidth="1"/>
    <col min="268" max="270" width="13" style="32" customWidth="1"/>
    <col min="271" max="271" width="14.5546875" style="32" customWidth="1"/>
    <col min="272" max="273" width="13.44140625" style="32" customWidth="1"/>
    <col min="274" max="274" width="2.44140625" style="32" customWidth="1"/>
    <col min="275" max="275" width="13.44140625" style="32" customWidth="1"/>
    <col min="276" max="276" width="10.5546875" style="32" customWidth="1"/>
    <col min="277" max="277" width="12" style="32" customWidth="1"/>
    <col min="278" max="278" width="11.44140625" style="32" customWidth="1"/>
    <col min="279" max="279" width="16" style="32" customWidth="1"/>
    <col min="280" max="281" width="10.5546875" style="32" customWidth="1"/>
    <col min="282" max="282" width="15.5546875" style="32" customWidth="1"/>
    <col min="283" max="283" width="11.44140625" style="32" customWidth="1"/>
    <col min="284" max="284" width="12" style="32" customWidth="1"/>
    <col min="285" max="285" width="11.44140625" style="32" customWidth="1"/>
    <col min="286" max="286" width="12" style="32" customWidth="1"/>
    <col min="287" max="287" width="11.44140625" style="32" customWidth="1"/>
    <col min="288" max="288" width="12.44140625" style="32" customWidth="1"/>
    <col min="289" max="289" width="10.5546875" style="32" customWidth="1"/>
    <col min="290" max="290" width="19" style="32" customWidth="1"/>
    <col min="291" max="291" width="13.44140625" style="32" customWidth="1"/>
    <col min="292" max="292" width="18" style="32" customWidth="1"/>
    <col min="293" max="293" width="42.44140625" style="32" customWidth="1"/>
    <col min="294" max="294" width="31" style="32" customWidth="1"/>
    <col min="295" max="295" width="35" style="32" customWidth="1"/>
    <col min="296" max="296" width="31" style="32" customWidth="1"/>
    <col min="297" max="297" width="35" style="32" customWidth="1"/>
    <col min="298" max="298" width="31" style="32" customWidth="1"/>
    <col min="299" max="299" width="37.44140625" style="32" customWidth="1"/>
    <col min="300" max="300" width="11.44140625" style="32" customWidth="1"/>
    <col min="301" max="301" width="54" style="32" customWidth="1"/>
    <col min="302" max="302" width="43.5546875" style="32" customWidth="1"/>
    <col min="303" max="303" width="44.5546875" style="32" customWidth="1"/>
    <col min="304" max="513" width="6.5546875" style="32"/>
    <col min="514" max="515" width="2.44140625" style="32" customWidth="1"/>
    <col min="516" max="516" width="11.5546875" style="32" hidden="1" customWidth="1"/>
    <col min="517" max="519" width="12.44140625" style="32" customWidth="1"/>
    <col min="520" max="520" width="12" style="32" customWidth="1"/>
    <col min="521" max="521" width="12.44140625" style="32" customWidth="1"/>
    <col min="522" max="522" width="13.44140625" style="32" customWidth="1"/>
    <col min="523" max="523" width="11.5546875" style="32" hidden="1" customWidth="1"/>
    <col min="524" max="526" width="13" style="32" customWidth="1"/>
    <col min="527" max="527" width="14.5546875" style="32" customWidth="1"/>
    <col min="528" max="529" width="13.44140625" style="32" customWidth="1"/>
    <col min="530" max="530" width="2.44140625" style="32" customWidth="1"/>
    <col min="531" max="531" width="13.44140625" style="32" customWidth="1"/>
    <col min="532" max="532" width="10.5546875" style="32" customWidth="1"/>
    <col min="533" max="533" width="12" style="32" customWidth="1"/>
    <col min="534" max="534" width="11.44140625" style="32" customWidth="1"/>
    <col min="535" max="535" width="16" style="32" customWidth="1"/>
    <col min="536" max="537" width="10.5546875" style="32" customWidth="1"/>
    <col min="538" max="538" width="15.5546875" style="32" customWidth="1"/>
    <col min="539" max="539" width="11.44140625" style="32" customWidth="1"/>
    <col min="540" max="540" width="12" style="32" customWidth="1"/>
    <col min="541" max="541" width="11.44140625" style="32" customWidth="1"/>
    <col min="542" max="542" width="12" style="32" customWidth="1"/>
    <col min="543" max="543" width="11.44140625" style="32" customWidth="1"/>
    <col min="544" max="544" width="12.44140625" style="32" customWidth="1"/>
    <col min="545" max="545" width="10.5546875" style="32" customWidth="1"/>
    <col min="546" max="546" width="19" style="32" customWidth="1"/>
    <col min="547" max="547" width="13.44140625" style="32" customWidth="1"/>
    <col min="548" max="548" width="18" style="32" customWidth="1"/>
    <col min="549" max="549" width="42.44140625" style="32" customWidth="1"/>
    <col min="550" max="550" width="31" style="32" customWidth="1"/>
    <col min="551" max="551" width="35" style="32" customWidth="1"/>
    <col min="552" max="552" width="31" style="32" customWidth="1"/>
    <col min="553" max="553" width="35" style="32" customWidth="1"/>
    <col min="554" max="554" width="31" style="32" customWidth="1"/>
    <col min="555" max="555" width="37.44140625" style="32" customWidth="1"/>
    <col min="556" max="556" width="11.44140625" style="32" customWidth="1"/>
    <col min="557" max="557" width="54" style="32" customWidth="1"/>
    <col min="558" max="558" width="43.5546875" style="32" customWidth="1"/>
    <col min="559" max="559" width="44.5546875" style="32" customWidth="1"/>
    <col min="560" max="769" width="6.5546875" style="32"/>
    <col min="770" max="771" width="2.44140625" style="32" customWidth="1"/>
    <col min="772" max="772" width="11.5546875" style="32" hidden="1" customWidth="1"/>
    <col min="773" max="775" width="12.44140625" style="32" customWidth="1"/>
    <col min="776" max="776" width="12" style="32" customWidth="1"/>
    <col min="777" max="777" width="12.44140625" style="32" customWidth="1"/>
    <col min="778" max="778" width="13.44140625" style="32" customWidth="1"/>
    <col min="779" max="779" width="11.5546875" style="32" hidden="1" customWidth="1"/>
    <col min="780" max="782" width="13" style="32" customWidth="1"/>
    <col min="783" max="783" width="14.5546875" style="32" customWidth="1"/>
    <col min="784" max="785" width="13.44140625" style="32" customWidth="1"/>
    <col min="786" max="786" width="2.44140625" style="32" customWidth="1"/>
    <col min="787" max="787" width="13.44140625" style="32" customWidth="1"/>
    <col min="788" max="788" width="10.5546875" style="32" customWidth="1"/>
    <col min="789" max="789" width="12" style="32" customWidth="1"/>
    <col min="790" max="790" width="11.44140625" style="32" customWidth="1"/>
    <col min="791" max="791" width="16" style="32" customWidth="1"/>
    <col min="792" max="793" width="10.5546875" style="32" customWidth="1"/>
    <col min="794" max="794" width="15.5546875" style="32" customWidth="1"/>
    <col min="795" max="795" width="11.44140625" style="32" customWidth="1"/>
    <col min="796" max="796" width="12" style="32" customWidth="1"/>
    <col min="797" max="797" width="11.44140625" style="32" customWidth="1"/>
    <col min="798" max="798" width="12" style="32" customWidth="1"/>
    <col min="799" max="799" width="11.44140625" style="32" customWidth="1"/>
    <col min="800" max="800" width="12.44140625" style="32" customWidth="1"/>
    <col min="801" max="801" width="10.5546875" style="32" customWidth="1"/>
    <col min="802" max="802" width="19" style="32" customWidth="1"/>
    <col min="803" max="803" width="13.44140625" style="32" customWidth="1"/>
    <col min="804" max="804" width="18" style="32" customWidth="1"/>
    <col min="805" max="805" width="42.44140625" style="32" customWidth="1"/>
    <col min="806" max="806" width="31" style="32" customWidth="1"/>
    <col min="807" max="807" width="35" style="32" customWidth="1"/>
    <col min="808" max="808" width="31" style="32" customWidth="1"/>
    <col min="809" max="809" width="35" style="32" customWidth="1"/>
    <col min="810" max="810" width="31" style="32" customWidth="1"/>
    <col min="811" max="811" width="37.44140625" style="32" customWidth="1"/>
    <col min="812" max="812" width="11.44140625" style="32" customWidth="1"/>
    <col min="813" max="813" width="54" style="32" customWidth="1"/>
    <col min="814" max="814" width="43.5546875" style="32" customWidth="1"/>
    <col min="815" max="815" width="44.5546875" style="32" customWidth="1"/>
    <col min="816" max="1025" width="6.5546875" style="32"/>
    <col min="1026" max="1027" width="2.44140625" style="32" customWidth="1"/>
    <col min="1028" max="1028" width="11.5546875" style="32" hidden="1" customWidth="1"/>
    <col min="1029" max="1031" width="12.44140625" style="32" customWidth="1"/>
    <col min="1032" max="1032" width="12" style="32" customWidth="1"/>
    <col min="1033" max="1033" width="12.44140625" style="32" customWidth="1"/>
    <col min="1034" max="1034" width="13.44140625" style="32" customWidth="1"/>
    <col min="1035" max="1035" width="11.5546875" style="32" hidden="1" customWidth="1"/>
    <col min="1036" max="1038" width="13" style="32" customWidth="1"/>
    <col min="1039" max="1039" width="14.5546875" style="32" customWidth="1"/>
    <col min="1040" max="1041" width="13.44140625" style="32" customWidth="1"/>
    <col min="1042" max="1042" width="2.44140625" style="32" customWidth="1"/>
    <col min="1043" max="1043" width="13.44140625" style="32" customWidth="1"/>
    <col min="1044" max="1044" width="10.5546875" style="32" customWidth="1"/>
    <col min="1045" max="1045" width="12" style="32" customWidth="1"/>
    <col min="1046" max="1046" width="11.44140625" style="32" customWidth="1"/>
    <col min="1047" max="1047" width="16" style="32" customWidth="1"/>
    <col min="1048" max="1049" width="10.5546875" style="32" customWidth="1"/>
    <col min="1050" max="1050" width="15.5546875" style="32" customWidth="1"/>
    <col min="1051" max="1051" width="11.44140625" style="32" customWidth="1"/>
    <col min="1052" max="1052" width="12" style="32" customWidth="1"/>
    <col min="1053" max="1053" width="11.44140625" style="32" customWidth="1"/>
    <col min="1054" max="1054" width="12" style="32" customWidth="1"/>
    <col min="1055" max="1055" width="11.44140625" style="32" customWidth="1"/>
    <col min="1056" max="1056" width="12.44140625" style="32" customWidth="1"/>
    <col min="1057" max="1057" width="10.5546875" style="32" customWidth="1"/>
    <col min="1058" max="1058" width="19" style="32" customWidth="1"/>
    <col min="1059" max="1059" width="13.44140625" style="32" customWidth="1"/>
    <col min="1060" max="1060" width="18" style="32" customWidth="1"/>
    <col min="1061" max="1061" width="42.44140625" style="32" customWidth="1"/>
    <col min="1062" max="1062" width="31" style="32" customWidth="1"/>
    <col min="1063" max="1063" width="35" style="32" customWidth="1"/>
    <col min="1064" max="1064" width="31" style="32" customWidth="1"/>
    <col min="1065" max="1065" width="35" style="32" customWidth="1"/>
    <col min="1066" max="1066" width="31" style="32" customWidth="1"/>
    <col min="1067" max="1067" width="37.44140625" style="32" customWidth="1"/>
    <col min="1068" max="1068" width="11.44140625" style="32" customWidth="1"/>
    <col min="1069" max="1069" width="54" style="32" customWidth="1"/>
    <col min="1070" max="1070" width="43.5546875" style="32" customWidth="1"/>
    <col min="1071" max="1071" width="44.5546875" style="32" customWidth="1"/>
    <col min="1072" max="1281" width="6.5546875" style="32"/>
    <col min="1282" max="1283" width="2.44140625" style="32" customWidth="1"/>
    <col min="1284" max="1284" width="11.5546875" style="32" hidden="1" customWidth="1"/>
    <col min="1285" max="1287" width="12.44140625" style="32" customWidth="1"/>
    <col min="1288" max="1288" width="12" style="32" customWidth="1"/>
    <col min="1289" max="1289" width="12.44140625" style="32" customWidth="1"/>
    <col min="1290" max="1290" width="13.44140625" style="32" customWidth="1"/>
    <col min="1291" max="1291" width="11.5546875" style="32" hidden="1" customWidth="1"/>
    <col min="1292" max="1294" width="13" style="32" customWidth="1"/>
    <col min="1295" max="1295" width="14.5546875" style="32" customWidth="1"/>
    <col min="1296" max="1297" width="13.44140625" style="32" customWidth="1"/>
    <col min="1298" max="1298" width="2.44140625" style="32" customWidth="1"/>
    <col min="1299" max="1299" width="13.44140625" style="32" customWidth="1"/>
    <col min="1300" max="1300" width="10.5546875" style="32" customWidth="1"/>
    <col min="1301" max="1301" width="12" style="32" customWidth="1"/>
    <col min="1302" max="1302" width="11.44140625" style="32" customWidth="1"/>
    <col min="1303" max="1303" width="16" style="32" customWidth="1"/>
    <col min="1304" max="1305" width="10.5546875" style="32" customWidth="1"/>
    <col min="1306" max="1306" width="15.5546875" style="32" customWidth="1"/>
    <col min="1307" max="1307" width="11.44140625" style="32" customWidth="1"/>
    <col min="1308" max="1308" width="12" style="32" customWidth="1"/>
    <col min="1309" max="1309" width="11.44140625" style="32" customWidth="1"/>
    <col min="1310" max="1310" width="12" style="32" customWidth="1"/>
    <col min="1311" max="1311" width="11.44140625" style="32" customWidth="1"/>
    <col min="1312" max="1312" width="12.44140625" style="32" customWidth="1"/>
    <col min="1313" max="1313" width="10.5546875" style="32" customWidth="1"/>
    <col min="1314" max="1314" width="19" style="32" customWidth="1"/>
    <col min="1315" max="1315" width="13.44140625" style="32" customWidth="1"/>
    <col min="1316" max="1316" width="18" style="32" customWidth="1"/>
    <col min="1317" max="1317" width="42.44140625" style="32" customWidth="1"/>
    <col min="1318" max="1318" width="31" style="32" customWidth="1"/>
    <col min="1319" max="1319" width="35" style="32" customWidth="1"/>
    <col min="1320" max="1320" width="31" style="32" customWidth="1"/>
    <col min="1321" max="1321" width="35" style="32" customWidth="1"/>
    <col min="1322" max="1322" width="31" style="32" customWidth="1"/>
    <col min="1323" max="1323" width="37.44140625" style="32" customWidth="1"/>
    <col min="1324" max="1324" width="11.44140625" style="32" customWidth="1"/>
    <col min="1325" max="1325" width="54" style="32" customWidth="1"/>
    <col min="1326" max="1326" width="43.5546875" style="32" customWidth="1"/>
    <col min="1327" max="1327" width="44.5546875" style="32" customWidth="1"/>
    <col min="1328" max="1537" width="6.5546875" style="32"/>
    <col min="1538" max="1539" width="2.44140625" style="32" customWidth="1"/>
    <col min="1540" max="1540" width="11.5546875" style="32" hidden="1" customWidth="1"/>
    <col min="1541" max="1543" width="12.44140625" style="32" customWidth="1"/>
    <col min="1544" max="1544" width="12" style="32" customWidth="1"/>
    <col min="1545" max="1545" width="12.44140625" style="32" customWidth="1"/>
    <col min="1546" max="1546" width="13.44140625" style="32" customWidth="1"/>
    <col min="1547" max="1547" width="11.5546875" style="32" hidden="1" customWidth="1"/>
    <col min="1548" max="1550" width="13" style="32" customWidth="1"/>
    <col min="1551" max="1551" width="14.5546875" style="32" customWidth="1"/>
    <col min="1552" max="1553" width="13.44140625" style="32" customWidth="1"/>
    <col min="1554" max="1554" width="2.44140625" style="32" customWidth="1"/>
    <col min="1555" max="1555" width="13.44140625" style="32" customWidth="1"/>
    <col min="1556" max="1556" width="10.5546875" style="32" customWidth="1"/>
    <col min="1557" max="1557" width="12" style="32" customWidth="1"/>
    <col min="1558" max="1558" width="11.44140625" style="32" customWidth="1"/>
    <col min="1559" max="1559" width="16" style="32" customWidth="1"/>
    <col min="1560" max="1561" width="10.5546875" style="32" customWidth="1"/>
    <col min="1562" max="1562" width="15.5546875" style="32" customWidth="1"/>
    <col min="1563" max="1563" width="11.44140625" style="32" customWidth="1"/>
    <col min="1564" max="1564" width="12" style="32" customWidth="1"/>
    <col min="1565" max="1565" width="11.44140625" style="32" customWidth="1"/>
    <col min="1566" max="1566" width="12" style="32" customWidth="1"/>
    <col min="1567" max="1567" width="11.44140625" style="32" customWidth="1"/>
    <col min="1568" max="1568" width="12.44140625" style="32" customWidth="1"/>
    <col min="1569" max="1569" width="10.5546875" style="32" customWidth="1"/>
    <col min="1570" max="1570" width="19" style="32" customWidth="1"/>
    <col min="1571" max="1571" width="13.44140625" style="32" customWidth="1"/>
    <col min="1572" max="1572" width="18" style="32" customWidth="1"/>
    <col min="1573" max="1573" width="42.44140625" style="32" customWidth="1"/>
    <col min="1574" max="1574" width="31" style="32" customWidth="1"/>
    <col min="1575" max="1575" width="35" style="32" customWidth="1"/>
    <col min="1576" max="1576" width="31" style="32" customWidth="1"/>
    <col min="1577" max="1577" width="35" style="32" customWidth="1"/>
    <col min="1578" max="1578" width="31" style="32" customWidth="1"/>
    <col min="1579" max="1579" width="37.44140625" style="32" customWidth="1"/>
    <col min="1580" max="1580" width="11.44140625" style="32" customWidth="1"/>
    <col min="1581" max="1581" width="54" style="32" customWidth="1"/>
    <col min="1582" max="1582" width="43.5546875" style="32" customWidth="1"/>
    <col min="1583" max="1583" width="44.5546875" style="32" customWidth="1"/>
    <col min="1584" max="1793" width="6.5546875" style="32"/>
    <col min="1794" max="1795" width="2.44140625" style="32" customWidth="1"/>
    <col min="1796" max="1796" width="11.5546875" style="32" hidden="1" customWidth="1"/>
    <col min="1797" max="1799" width="12.44140625" style="32" customWidth="1"/>
    <col min="1800" max="1800" width="12" style="32" customWidth="1"/>
    <col min="1801" max="1801" width="12.44140625" style="32" customWidth="1"/>
    <col min="1802" max="1802" width="13.44140625" style="32" customWidth="1"/>
    <col min="1803" max="1803" width="11.5546875" style="32" hidden="1" customWidth="1"/>
    <col min="1804" max="1806" width="13" style="32" customWidth="1"/>
    <col min="1807" max="1807" width="14.5546875" style="32" customWidth="1"/>
    <col min="1808" max="1809" width="13.44140625" style="32" customWidth="1"/>
    <col min="1810" max="1810" width="2.44140625" style="32" customWidth="1"/>
    <col min="1811" max="1811" width="13.44140625" style="32" customWidth="1"/>
    <col min="1812" max="1812" width="10.5546875" style="32" customWidth="1"/>
    <col min="1813" max="1813" width="12" style="32" customWidth="1"/>
    <col min="1814" max="1814" width="11.44140625" style="32" customWidth="1"/>
    <col min="1815" max="1815" width="16" style="32" customWidth="1"/>
    <col min="1816" max="1817" width="10.5546875" style="32" customWidth="1"/>
    <col min="1818" max="1818" width="15.5546875" style="32" customWidth="1"/>
    <col min="1819" max="1819" width="11.44140625" style="32" customWidth="1"/>
    <col min="1820" max="1820" width="12" style="32" customWidth="1"/>
    <col min="1821" max="1821" width="11.44140625" style="32" customWidth="1"/>
    <col min="1822" max="1822" width="12" style="32" customWidth="1"/>
    <col min="1823" max="1823" width="11.44140625" style="32" customWidth="1"/>
    <col min="1824" max="1824" width="12.44140625" style="32" customWidth="1"/>
    <col min="1825" max="1825" width="10.5546875" style="32" customWidth="1"/>
    <col min="1826" max="1826" width="19" style="32" customWidth="1"/>
    <col min="1827" max="1827" width="13.44140625" style="32" customWidth="1"/>
    <col min="1828" max="1828" width="18" style="32" customWidth="1"/>
    <col min="1829" max="1829" width="42.44140625" style="32" customWidth="1"/>
    <col min="1830" max="1830" width="31" style="32" customWidth="1"/>
    <col min="1831" max="1831" width="35" style="32" customWidth="1"/>
    <col min="1832" max="1832" width="31" style="32" customWidth="1"/>
    <col min="1833" max="1833" width="35" style="32" customWidth="1"/>
    <col min="1834" max="1834" width="31" style="32" customWidth="1"/>
    <col min="1835" max="1835" width="37.44140625" style="32" customWidth="1"/>
    <col min="1836" max="1836" width="11.44140625" style="32" customWidth="1"/>
    <col min="1837" max="1837" width="54" style="32" customWidth="1"/>
    <col min="1838" max="1838" width="43.5546875" style="32" customWidth="1"/>
    <col min="1839" max="1839" width="44.5546875" style="32" customWidth="1"/>
    <col min="1840" max="2049" width="6.5546875" style="32"/>
    <col min="2050" max="2051" width="2.44140625" style="32" customWidth="1"/>
    <col min="2052" max="2052" width="11.5546875" style="32" hidden="1" customWidth="1"/>
    <col min="2053" max="2055" width="12.44140625" style="32" customWidth="1"/>
    <col min="2056" max="2056" width="12" style="32" customWidth="1"/>
    <col min="2057" max="2057" width="12.44140625" style="32" customWidth="1"/>
    <col min="2058" max="2058" width="13.44140625" style="32" customWidth="1"/>
    <col min="2059" max="2059" width="11.5546875" style="32" hidden="1" customWidth="1"/>
    <col min="2060" max="2062" width="13" style="32" customWidth="1"/>
    <col min="2063" max="2063" width="14.5546875" style="32" customWidth="1"/>
    <col min="2064" max="2065" width="13.44140625" style="32" customWidth="1"/>
    <col min="2066" max="2066" width="2.44140625" style="32" customWidth="1"/>
    <col min="2067" max="2067" width="13.44140625" style="32" customWidth="1"/>
    <col min="2068" max="2068" width="10.5546875" style="32" customWidth="1"/>
    <col min="2069" max="2069" width="12" style="32" customWidth="1"/>
    <col min="2070" max="2070" width="11.44140625" style="32" customWidth="1"/>
    <col min="2071" max="2071" width="16" style="32" customWidth="1"/>
    <col min="2072" max="2073" width="10.5546875" style="32" customWidth="1"/>
    <col min="2074" max="2074" width="15.5546875" style="32" customWidth="1"/>
    <col min="2075" max="2075" width="11.44140625" style="32" customWidth="1"/>
    <col min="2076" max="2076" width="12" style="32" customWidth="1"/>
    <col min="2077" max="2077" width="11.44140625" style="32" customWidth="1"/>
    <col min="2078" max="2078" width="12" style="32" customWidth="1"/>
    <col min="2079" max="2079" width="11.44140625" style="32" customWidth="1"/>
    <col min="2080" max="2080" width="12.44140625" style="32" customWidth="1"/>
    <col min="2081" max="2081" width="10.5546875" style="32" customWidth="1"/>
    <col min="2082" max="2082" width="19" style="32" customWidth="1"/>
    <col min="2083" max="2083" width="13.44140625" style="32" customWidth="1"/>
    <col min="2084" max="2084" width="18" style="32" customWidth="1"/>
    <col min="2085" max="2085" width="42.44140625" style="32" customWidth="1"/>
    <col min="2086" max="2086" width="31" style="32" customWidth="1"/>
    <col min="2087" max="2087" width="35" style="32" customWidth="1"/>
    <col min="2088" max="2088" width="31" style="32" customWidth="1"/>
    <col min="2089" max="2089" width="35" style="32" customWidth="1"/>
    <col min="2090" max="2090" width="31" style="32" customWidth="1"/>
    <col min="2091" max="2091" width="37.44140625" style="32" customWidth="1"/>
    <col min="2092" max="2092" width="11.44140625" style="32" customWidth="1"/>
    <col min="2093" max="2093" width="54" style="32" customWidth="1"/>
    <col min="2094" max="2094" width="43.5546875" style="32" customWidth="1"/>
    <col min="2095" max="2095" width="44.5546875" style="32" customWidth="1"/>
    <col min="2096" max="2305" width="6.5546875" style="32"/>
    <col min="2306" max="2307" width="2.44140625" style="32" customWidth="1"/>
    <col min="2308" max="2308" width="11.5546875" style="32" hidden="1" customWidth="1"/>
    <col min="2309" max="2311" width="12.44140625" style="32" customWidth="1"/>
    <col min="2312" max="2312" width="12" style="32" customWidth="1"/>
    <col min="2313" max="2313" width="12.44140625" style="32" customWidth="1"/>
    <col min="2314" max="2314" width="13.44140625" style="32" customWidth="1"/>
    <col min="2315" max="2315" width="11.5546875" style="32" hidden="1" customWidth="1"/>
    <col min="2316" max="2318" width="13" style="32" customWidth="1"/>
    <col min="2319" max="2319" width="14.5546875" style="32" customWidth="1"/>
    <col min="2320" max="2321" width="13.44140625" style="32" customWidth="1"/>
    <col min="2322" max="2322" width="2.44140625" style="32" customWidth="1"/>
    <col min="2323" max="2323" width="13.44140625" style="32" customWidth="1"/>
    <col min="2324" max="2324" width="10.5546875" style="32" customWidth="1"/>
    <col min="2325" max="2325" width="12" style="32" customWidth="1"/>
    <col min="2326" max="2326" width="11.44140625" style="32" customWidth="1"/>
    <col min="2327" max="2327" width="16" style="32" customWidth="1"/>
    <col min="2328" max="2329" width="10.5546875" style="32" customWidth="1"/>
    <col min="2330" max="2330" width="15.5546875" style="32" customWidth="1"/>
    <col min="2331" max="2331" width="11.44140625" style="32" customWidth="1"/>
    <col min="2332" max="2332" width="12" style="32" customWidth="1"/>
    <col min="2333" max="2333" width="11.44140625" style="32" customWidth="1"/>
    <col min="2334" max="2334" width="12" style="32" customWidth="1"/>
    <col min="2335" max="2335" width="11.44140625" style="32" customWidth="1"/>
    <col min="2336" max="2336" width="12.44140625" style="32" customWidth="1"/>
    <col min="2337" max="2337" width="10.5546875" style="32" customWidth="1"/>
    <col min="2338" max="2338" width="19" style="32" customWidth="1"/>
    <col min="2339" max="2339" width="13.44140625" style="32" customWidth="1"/>
    <col min="2340" max="2340" width="18" style="32" customWidth="1"/>
    <col min="2341" max="2341" width="42.44140625" style="32" customWidth="1"/>
    <col min="2342" max="2342" width="31" style="32" customWidth="1"/>
    <col min="2343" max="2343" width="35" style="32" customWidth="1"/>
    <col min="2344" max="2344" width="31" style="32" customWidth="1"/>
    <col min="2345" max="2345" width="35" style="32" customWidth="1"/>
    <col min="2346" max="2346" width="31" style="32" customWidth="1"/>
    <col min="2347" max="2347" width="37.44140625" style="32" customWidth="1"/>
    <col min="2348" max="2348" width="11.44140625" style="32" customWidth="1"/>
    <col min="2349" max="2349" width="54" style="32" customWidth="1"/>
    <col min="2350" max="2350" width="43.5546875" style="32" customWidth="1"/>
    <col min="2351" max="2351" width="44.5546875" style="32" customWidth="1"/>
    <col min="2352" max="2561" width="6.5546875" style="32"/>
    <col min="2562" max="2563" width="2.44140625" style="32" customWidth="1"/>
    <col min="2564" max="2564" width="11.5546875" style="32" hidden="1" customWidth="1"/>
    <col min="2565" max="2567" width="12.44140625" style="32" customWidth="1"/>
    <col min="2568" max="2568" width="12" style="32" customWidth="1"/>
    <col min="2569" max="2569" width="12.44140625" style="32" customWidth="1"/>
    <col min="2570" max="2570" width="13.44140625" style="32" customWidth="1"/>
    <col min="2571" max="2571" width="11.5546875" style="32" hidden="1" customWidth="1"/>
    <col min="2572" max="2574" width="13" style="32" customWidth="1"/>
    <col min="2575" max="2575" width="14.5546875" style="32" customWidth="1"/>
    <col min="2576" max="2577" width="13.44140625" style="32" customWidth="1"/>
    <col min="2578" max="2578" width="2.44140625" style="32" customWidth="1"/>
    <col min="2579" max="2579" width="13.44140625" style="32" customWidth="1"/>
    <col min="2580" max="2580" width="10.5546875" style="32" customWidth="1"/>
    <col min="2581" max="2581" width="12" style="32" customWidth="1"/>
    <col min="2582" max="2582" width="11.44140625" style="32" customWidth="1"/>
    <col min="2583" max="2583" width="16" style="32" customWidth="1"/>
    <col min="2584" max="2585" width="10.5546875" style="32" customWidth="1"/>
    <col min="2586" max="2586" width="15.5546875" style="32" customWidth="1"/>
    <col min="2587" max="2587" width="11.44140625" style="32" customWidth="1"/>
    <col min="2588" max="2588" width="12" style="32" customWidth="1"/>
    <col min="2589" max="2589" width="11.44140625" style="32" customWidth="1"/>
    <col min="2590" max="2590" width="12" style="32" customWidth="1"/>
    <col min="2591" max="2591" width="11.44140625" style="32" customWidth="1"/>
    <col min="2592" max="2592" width="12.44140625" style="32" customWidth="1"/>
    <col min="2593" max="2593" width="10.5546875" style="32" customWidth="1"/>
    <col min="2594" max="2594" width="19" style="32" customWidth="1"/>
    <col min="2595" max="2595" width="13.44140625" style="32" customWidth="1"/>
    <col min="2596" max="2596" width="18" style="32" customWidth="1"/>
    <col min="2597" max="2597" width="42.44140625" style="32" customWidth="1"/>
    <col min="2598" max="2598" width="31" style="32" customWidth="1"/>
    <col min="2599" max="2599" width="35" style="32" customWidth="1"/>
    <col min="2600" max="2600" width="31" style="32" customWidth="1"/>
    <col min="2601" max="2601" width="35" style="32" customWidth="1"/>
    <col min="2602" max="2602" width="31" style="32" customWidth="1"/>
    <col min="2603" max="2603" width="37.44140625" style="32" customWidth="1"/>
    <col min="2604" max="2604" width="11.44140625" style="32" customWidth="1"/>
    <col min="2605" max="2605" width="54" style="32" customWidth="1"/>
    <col min="2606" max="2606" width="43.5546875" style="32" customWidth="1"/>
    <col min="2607" max="2607" width="44.5546875" style="32" customWidth="1"/>
    <col min="2608" max="2817" width="6.5546875" style="32"/>
    <col min="2818" max="2819" width="2.44140625" style="32" customWidth="1"/>
    <col min="2820" max="2820" width="11.5546875" style="32" hidden="1" customWidth="1"/>
    <col min="2821" max="2823" width="12.44140625" style="32" customWidth="1"/>
    <col min="2824" max="2824" width="12" style="32" customWidth="1"/>
    <col min="2825" max="2825" width="12.44140625" style="32" customWidth="1"/>
    <col min="2826" max="2826" width="13.44140625" style="32" customWidth="1"/>
    <col min="2827" max="2827" width="11.5546875" style="32" hidden="1" customWidth="1"/>
    <col min="2828" max="2830" width="13" style="32" customWidth="1"/>
    <col min="2831" max="2831" width="14.5546875" style="32" customWidth="1"/>
    <col min="2832" max="2833" width="13.44140625" style="32" customWidth="1"/>
    <col min="2834" max="2834" width="2.44140625" style="32" customWidth="1"/>
    <col min="2835" max="2835" width="13.44140625" style="32" customWidth="1"/>
    <col min="2836" max="2836" width="10.5546875" style="32" customWidth="1"/>
    <col min="2837" max="2837" width="12" style="32" customWidth="1"/>
    <col min="2838" max="2838" width="11.44140625" style="32" customWidth="1"/>
    <col min="2839" max="2839" width="16" style="32" customWidth="1"/>
    <col min="2840" max="2841" width="10.5546875" style="32" customWidth="1"/>
    <col min="2842" max="2842" width="15.5546875" style="32" customWidth="1"/>
    <col min="2843" max="2843" width="11.44140625" style="32" customWidth="1"/>
    <col min="2844" max="2844" width="12" style="32" customWidth="1"/>
    <col min="2845" max="2845" width="11.44140625" style="32" customWidth="1"/>
    <col min="2846" max="2846" width="12" style="32" customWidth="1"/>
    <col min="2847" max="2847" width="11.44140625" style="32" customWidth="1"/>
    <col min="2848" max="2848" width="12.44140625" style="32" customWidth="1"/>
    <col min="2849" max="2849" width="10.5546875" style="32" customWidth="1"/>
    <col min="2850" max="2850" width="19" style="32" customWidth="1"/>
    <col min="2851" max="2851" width="13.44140625" style="32" customWidth="1"/>
    <col min="2852" max="2852" width="18" style="32" customWidth="1"/>
    <col min="2853" max="2853" width="42.44140625" style="32" customWidth="1"/>
    <col min="2854" max="2854" width="31" style="32" customWidth="1"/>
    <col min="2855" max="2855" width="35" style="32" customWidth="1"/>
    <col min="2856" max="2856" width="31" style="32" customWidth="1"/>
    <col min="2857" max="2857" width="35" style="32" customWidth="1"/>
    <col min="2858" max="2858" width="31" style="32" customWidth="1"/>
    <col min="2859" max="2859" width="37.44140625" style="32" customWidth="1"/>
    <col min="2860" max="2860" width="11.44140625" style="32" customWidth="1"/>
    <col min="2861" max="2861" width="54" style="32" customWidth="1"/>
    <col min="2862" max="2862" width="43.5546875" style="32" customWidth="1"/>
    <col min="2863" max="2863" width="44.5546875" style="32" customWidth="1"/>
    <col min="2864" max="3073" width="6.5546875" style="32"/>
    <col min="3074" max="3075" width="2.44140625" style="32" customWidth="1"/>
    <col min="3076" max="3076" width="11.5546875" style="32" hidden="1" customWidth="1"/>
    <col min="3077" max="3079" width="12.44140625" style="32" customWidth="1"/>
    <col min="3080" max="3080" width="12" style="32" customWidth="1"/>
    <col min="3081" max="3081" width="12.44140625" style="32" customWidth="1"/>
    <col min="3082" max="3082" width="13.44140625" style="32" customWidth="1"/>
    <col min="3083" max="3083" width="11.5546875" style="32" hidden="1" customWidth="1"/>
    <col min="3084" max="3086" width="13" style="32" customWidth="1"/>
    <col min="3087" max="3087" width="14.5546875" style="32" customWidth="1"/>
    <col min="3088" max="3089" width="13.44140625" style="32" customWidth="1"/>
    <col min="3090" max="3090" width="2.44140625" style="32" customWidth="1"/>
    <col min="3091" max="3091" width="13.44140625" style="32" customWidth="1"/>
    <col min="3092" max="3092" width="10.5546875" style="32" customWidth="1"/>
    <col min="3093" max="3093" width="12" style="32" customWidth="1"/>
    <col min="3094" max="3094" width="11.44140625" style="32" customWidth="1"/>
    <col min="3095" max="3095" width="16" style="32" customWidth="1"/>
    <col min="3096" max="3097" width="10.5546875" style="32" customWidth="1"/>
    <col min="3098" max="3098" width="15.5546875" style="32" customWidth="1"/>
    <col min="3099" max="3099" width="11.44140625" style="32" customWidth="1"/>
    <col min="3100" max="3100" width="12" style="32" customWidth="1"/>
    <col min="3101" max="3101" width="11.44140625" style="32" customWidth="1"/>
    <col min="3102" max="3102" width="12" style="32" customWidth="1"/>
    <col min="3103" max="3103" width="11.44140625" style="32" customWidth="1"/>
    <col min="3104" max="3104" width="12.44140625" style="32" customWidth="1"/>
    <col min="3105" max="3105" width="10.5546875" style="32" customWidth="1"/>
    <col min="3106" max="3106" width="19" style="32" customWidth="1"/>
    <col min="3107" max="3107" width="13.44140625" style="32" customWidth="1"/>
    <col min="3108" max="3108" width="18" style="32" customWidth="1"/>
    <col min="3109" max="3109" width="42.44140625" style="32" customWidth="1"/>
    <col min="3110" max="3110" width="31" style="32" customWidth="1"/>
    <col min="3111" max="3111" width="35" style="32" customWidth="1"/>
    <col min="3112" max="3112" width="31" style="32" customWidth="1"/>
    <col min="3113" max="3113" width="35" style="32" customWidth="1"/>
    <col min="3114" max="3114" width="31" style="32" customWidth="1"/>
    <col min="3115" max="3115" width="37.44140625" style="32" customWidth="1"/>
    <col min="3116" max="3116" width="11.44140625" style="32" customWidth="1"/>
    <col min="3117" max="3117" width="54" style="32" customWidth="1"/>
    <col min="3118" max="3118" width="43.5546875" style="32" customWidth="1"/>
    <col min="3119" max="3119" width="44.5546875" style="32" customWidth="1"/>
    <col min="3120" max="3329" width="6.5546875" style="32"/>
    <col min="3330" max="3331" width="2.44140625" style="32" customWidth="1"/>
    <col min="3332" max="3332" width="11.5546875" style="32" hidden="1" customWidth="1"/>
    <col min="3333" max="3335" width="12.44140625" style="32" customWidth="1"/>
    <col min="3336" max="3336" width="12" style="32" customWidth="1"/>
    <col min="3337" max="3337" width="12.44140625" style="32" customWidth="1"/>
    <col min="3338" max="3338" width="13.44140625" style="32" customWidth="1"/>
    <col min="3339" max="3339" width="11.5546875" style="32" hidden="1" customWidth="1"/>
    <col min="3340" max="3342" width="13" style="32" customWidth="1"/>
    <col min="3343" max="3343" width="14.5546875" style="32" customWidth="1"/>
    <col min="3344" max="3345" width="13.44140625" style="32" customWidth="1"/>
    <col min="3346" max="3346" width="2.44140625" style="32" customWidth="1"/>
    <col min="3347" max="3347" width="13.44140625" style="32" customWidth="1"/>
    <col min="3348" max="3348" width="10.5546875" style="32" customWidth="1"/>
    <col min="3349" max="3349" width="12" style="32" customWidth="1"/>
    <col min="3350" max="3350" width="11.44140625" style="32" customWidth="1"/>
    <col min="3351" max="3351" width="16" style="32" customWidth="1"/>
    <col min="3352" max="3353" width="10.5546875" style="32" customWidth="1"/>
    <col min="3354" max="3354" width="15.5546875" style="32" customWidth="1"/>
    <col min="3355" max="3355" width="11.44140625" style="32" customWidth="1"/>
    <col min="3356" max="3356" width="12" style="32" customWidth="1"/>
    <col min="3357" max="3357" width="11.44140625" style="32" customWidth="1"/>
    <col min="3358" max="3358" width="12" style="32" customWidth="1"/>
    <col min="3359" max="3359" width="11.44140625" style="32" customWidth="1"/>
    <col min="3360" max="3360" width="12.44140625" style="32" customWidth="1"/>
    <col min="3361" max="3361" width="10.5546875" style="32" customWidth="1"/>
    <col min="3362" max="3362" width="19" style="32" customWidth="1"/>
    <col min="3363" max="3363" width="13.44140625" style="32" customWidth="1"/>
    <col min="3364" max="3364" width="18" style="32" customWidth="1"/>
    <col min="3365" max="3365" width="42.44140625" style="32" customWidth="1"/>
    <col min="3366" max="3366" width="31" style="32" customWidth="1"/>
    <col min="3367" max="3367" width="35" style="32" customWidth="1"/>
    <col min="3368" max="3368" width="31" style="32" customWidth="1"/>
    <col min="3369" max="3369" width="35" style="32" customWidth="1"/>
    <col min="3370" max="3370" width="31" style="32" customWidth="1"/>
    <col min="3371" max="3371" width="37.44140625" style="32" customWidth="1"/>
    <col min="3372" max="3372" width="11.44140625" style="32" customWidth="1"/>
    <col min="3373" max="3373" width="54" style="32" customWidth="1"/>
    <col min="3374" max="3374" width="43.5546875" style="32" customWidth="1"/>
    <col min="3375" max="3375" width="44.5546875" style="32" customWidth="1"/>
    <col min="3376" max="3585" width="6.5546875" style="32"/>
    <col min="3586" max="3587" width="2.44140625" style="32" customWidth="1"/>
    <col min="3588" max="3588" width="11.5546875" style="32" hidden="1" customWidth="1"/>
    <col min="3589" max="3591" width="12.44140625" style="32" customWidth="1"/>
    <col min="3592" max="3592" width="12" style="32" customWidth="1"/>
    <col min="3593" max="3593" width="12.44140625" style="32" customWidth="1"/>
    <col min="3594" max="3594" width="13.44140625" style="32" customWidth="1"/>
    <col min="3595" max="3595" width="11.5546875" style="32" hidden="1" customWidth="1"/>
    <col min="3596" max="3598" width="13" style="32" customWidth="1"/>
    <col min="3599" max="3599" width="14.5546875" style="32" customWidth="1"/>
    <col min="3600" max="3601" width="13.44140625" style="32" customWidth="1"/>
    <col min="3602" max="3602" width="2.44140625" style="32" customWidth="1"/>
    <col min="3603" max="3603" width="13.44140625" style="32" customWidth="1"/>
    <col min="3604" max="3604" width="10.5546875" style="32" customWidth="1"/>
    <col min="3605" max="3605" width="12" style="32" customWidth="1"/>
    <col min="3606" max="3606" width="11.44140625" style="32" customWidth="1"/>
    <col min="3607" max="3607" width="16" style="32" customWidth="1"/>
    <col min="3608" max="3609" width="10.5546875" style="32" customWidth="1"/>
    <col min="3610" max="3610" width="15.5546875" style="32" customWidth="1"/>
    <col min="3611" max="3611" width="11.44140625" style="32" customWidth="1"/>
    <col min="3612" max="3612" width="12" style="32" customWidth="1"/>
    <col min="3613" max="3613" width="11.44140625" style="32" customWidth="1"/>
    <col min="3614" max="3614" width="12" style="32" customWidth="1"/>
    <col min="3615" max="3615" width="11.44140625" style="32" customWidth="1"/>
    <col min="3616" max="3616" width="12.44140625" style="32" customWidth="1"/>
    <col min="3617" max="3617" width="10.5546875" style="32" customWidth="1"/>
    <col min="3618" max="3618" width="19" style="32" customWidth="1"/>
    <col min="3619" max="3619" width="13.44140625" style="32" customWidth="1"/>
    <col min="3620" max="3620" width="18" style="32" customWidth="1"/>
    <col min="3621" max="3621" width="42.44140625" style="32" customWidth="1"/>
    <col min="3622" max="3622" width="31" style="32" customWidth="1"/>
    <col min="3623" max="3623" width="35" style="32" customWidth="1"/>
    <col min="3624" max="3624" width="31" style="32" customWidth="1"/>
    <col min="3625" max="3625" width="35" style="32" customWidth="1"/>
    <col min="3626" max="3626" width="31" style="32" customWidth="1"/>
    <col min="3627" max="3627" width="37.44140625" style="32" customWidth="1"/>
    <col min="3628" max="3628" width="11.44140625" style="32" customWidth="1"/>
    <col min="3629" max="3629" width="54" style="32" customWidth="1"/>
    <col min="3630" max="3630" width="43.5546875" style="32" customWidth="1"/>
    <col min="3631" max="3631" width="44.5546875" style="32" customWidth="1"/>
    <col min="3632" max="3841" width="6.5546875" style="32"/>
    <col min="3842" max="3843" width="2.44140625" style="32" customWidth="1"/>
    <col min="3844" max="3844" width="11.5546875" style="32" hidden="1" customWidth="1"/>
    <col min="3845" max="3847" width="12.44140625" style="32" customWidth="1"/>
    <col min="3848" max="3848" width="12" style="32" customWidth="1"/>
    <col min="3849" max="3849" width="12.44140625" style="32" customWidth="1"/>
    <col min="3850" max="3850" width="13.44140625" style="32" customWidth="1"/>
    <col min="3851" max="3851" width="11.5546875" style="32" hidden="1" customWidth="1"/>
    <col min="3852" max="3854" width="13" style="32" customWidth="1"/>
    <col min="3855" max="3855" width="14.5546875" style="32" customWidth="1"/>
    <col min="3856" max="3857" width="13.44140625" style="32" customWidth="1"/>
    <col min="3858" max="3858" width="2.44140625" style="32" customWidth="1"/>
    <col min="3859" max="3859" width="13.44140625" style="32" customWidth="1"/>
    <col min="3860" max="3860" width="10.5546875" style="32" customWidth="1"/>
    <col min="3861" max="3861" width="12" style="32" customWidth="1"/>
    <col min="3862" max="3862" width="11.44140625" style="32" customWidth="1"/>
    <col min="3863" max="3863" width="16" style="32" customWidth="1"/>
    <col min="3864" max="3865" width="10.5546875" style="32" customWidth="1"/>
    <col min="3866" max="3866" width="15.5546875" style="32" customWidth="1"/>
    <col min="3867" max="3867" width="11.44140625" style="32" customWidth="1"/>
    <col min="3868" max="3868" width="12" style="32" customWidth="1"/>
    <col min="3869" max="3869" width="11.44140625" style="32" customWidth="1"/>
    <col min="3870" max="3870" width="12" style="32" customWidth="1"/>
    <col min="3871" max="3871" width="11.44140625" style="32" customWidth="1"/>
    <col min="3872" max="3872" width="12.44140625" style="32" customWidth="1"/>
    <col min="3873" max="3873" width="10.5546875" style="32" customWidth="1"/>
    <col min="3874" max="3874" width="19" style="32" customWidth="1"/>
    <col min="3875" max="3875" width="13.44140625" style="32" customWidth="1"/>
    <col min="3876" max="3876" width="18" style="32" customWidth="1"/>
    <col min="3877" max="3877" width="42.44140625" style="32" customWidth="1"/>
    <col min="3878" max="3878" width="31" style="32" customWidth="1"/>
    <col min="3879" max="3879" width="35" style="32" customWidth="1"/>
    <col min="3880" max="3880" width="31" style="32" customWidth="1"/>
    <col min="3881" max="3881" width="35" style="32" customWidth="1"/>
    <col min="3882" max="3882" width="31" style="32" customWidth="1"/>
    <col min="3883" max="3883" width="37.44140625" style="32" customWidth="1"/>
    <col min="3884" max="3884" width="11.44140625" style="32" customWidth="1"/>
    <col min="3885" max="3885" width="54" style="32" customWidth="1"/>
    <col min="3886" max="3886" width="43.5546875" style="32" customWidth="1"/>
    <col min="3887" max="3887" width="44.5546875" style="32" customWidth="1"/>
    <col min="3888" max="4097" width="6.5546875" style="32"/>
    <col min="4098" max="4099" width="2.44140625" style="32" customWidth="1"/>
    <col min="4100" max="4100" width="11.5546875" style="32" hidden="1" customWidth="1"/>
    <col min="4101" max="4103" width="12.44140625" style="32" customWidth="1"/>
    <col min="4104" max="4104" width="12" style="32" customWidth="1"/>
    <col min="4105" max="4105" width="12.44140625" style="32" customWidth="1"/>
    <col min="4106" max="4106" width="13.44140625" style="32" customWidth="1"/>
    <col min="4107" max="4107" width="11.5546875" style="32" hidden="1" customWidth="1"/>
    <col min="4108" max="4110" width="13" style="32" customWidth="1"/>
    <col min="4111" max="4111" width="14.5546875" style="32" customWidth="1"/>
    <col min="4112" max="4113" width="13.44140625" style="32" customWidth="1"/>
    <col min="4114" max="4114" width="2.44140625" style="32" customWidth="1"/>
    <col min="4115" max="4115" width="13.44140625" style="32" customWidth="1"/>
    <col min="4116" max="4116" width="10.5546875" style="32" customWidth="1"/>
    <col min="4117" max="4117" width="12" style="32" customWidth="1"/>
    <col min="4118" max="4118" width="11.44140625" style="32" customWidth="1"/>
    <col min="4119" max="4119" width="16" style="32" customWidth="1"/>
    <col min="4120" max="4121" width="10.5546875" style="32" customWidth="1"/>
    <col min="4122" max="4122" width="15.5546875" style="32" customWidth="1"/>
    <col min="4123" max="4123" width="11.44140625" style="32" customWidth="1"/>
    <col min="4124" max="4124" width="12" style="32" customWidth="1"/>
    <col min="4125" max="4125" width="11.44140625" style="32" customWidth="1"/>
    <col min="4126" max="4126" width="12" style="32" customWidth="1"/>
    <col min="4127" max="4127" width="11.44140625" style="32" customWidth="1"/>
    <col min="4128" max="4128" width="12.44140625" style="32" customWidth="1"/>
    <col min="4129" max="4129" width="10.5546875" style="32" customWidth="1"/>
    <col min="4130" max="4130" width="19" style="32" customWidth="1"/>
    <col min="4131" max="4131" width="13.44140625" style="32" customWidth="1"/>
    <col min="4132" max="4132" width="18" style="32" customWidth="1"/>
    <col min="4133" max="4133" width="42.44140625" style="32" customWidth="1"/>
    <col min="4134" max="4134" width="31" style="32" customWidth="1"/>
    <col min="4135" max="4135" width="35" style="32" customWidth="1"/>
    <col min="4136" max="4136" width="31" style="32" customWidth="1"/>
    <col min="4137" max="4137" width="35" style="32" customWidth="1"/>
    <col min="4138" max="4138" width="31" style="32" customWidth="1"/>
    <col min="4139" max="4139" width="37.44140625" style="32" customWidth="1"/>
    <col min="4140" max="4140" width="11.44140625" style="32" customWidth="1"/>
    <col min="4141" max="4141" width="54" style="32" customWidth="1"/>
    <col min="4142" max="4142" width="43.5546875" style="32" customWidth="1"/>
    <col min="4143" max="4143" width="44.5546875" style="32" customWidth="1"/>
    <col min="4144" max="4353" width="6.5546875" style="32"/>
    <col min="4354" max="4355" width="2.44140625" style="32" customWidth="1"/>
    <col min="4356" max="4356" width="11.5546875" style="32" hidden="1" customWidth="1"/>
    <col min="4357" max="4359" width="12.44140625" style="32" customWidth="1"/>
    <col min="4360" max="4360" width="12" style="32" customWidth="1"/>
    <col min="4361" max="4361" width="12.44140625" style="32" customWidth="1"/>
    <col min="4362" max="4362" width="13.44140625" style="32" customWidth="1"/>
    <col min="4363" max="4363" width="11.5546875" style="32" hidden="1" customWidth="1"/>
    <col min="4364" max="4366" width="13" style="32" customWidth="1"/>
    <col min="4367" max="4367" width="14.5546875" style="32" customWidth="1"/>
    <col min="4368" max="4369" width="13.44140625" style="32" customWidth="1"/>
    <col min="4370" max="4370" width="2.44140625" style="32" customWidth="1"/>
    <col min="4371" max="4371" width="13.44140625" style="32" customWidth="1"/>
    <col min="4372" max="4372" width="10.5546875" style="32" customWidth="1"/>
    <col min="4373" max="4373" width="12" style="32" customWidth="1"/>
    <col min="4374" max="4374" width="11.44140625" style="32" customWidth="1"/>
    <col min="4375" max="4375" width="16" style="32" customWidth="1"/>
    <col min="4376" max="4377" width="10.5546875" style="32" customWidth="1"/>
    <col min="4378" max="4378" width="15.5546875" style="32" customWidth="1"/>
    <col min="4379" max="4379" width="11.44140625" style="32" customWidth="1"/>
    <col min="4380" max="4380" width="12" style="32" customWidth="1"/>
    <col min="4381" max="4381" width="11.44140625" style="32" customWidth="1"/>
    <col min="4382" max="4382" width="12" style="32" customWidth="1"/>
    <col min="4383" max="4383" width="11.44140625" style="32" customWidth="1"/>
    <col min="4384" max="4384" width="12.44140625" style="32" customWidth="1"/>
    <col min="4385" max="4385" width="10.5546875" style="32" customWidth="1"/>
    <col min="4386" max="4386" width="19" style="32" customWidth="1"/>
    <col min="4387" max="4387" width="13.44140625" style="32" customWidth="1"/>
    <col min="4388" max="4388" width="18" style="32" customWidth="1"/>
    <col min="4389" max="4389" width="42.44140625" style="32" customWidth="1"/>
    <col min="4390" max="4390" width="31" style="32" customWidth="1"/>
    <col min="4391" max="4391" width="35" style="32" customWidth="1"/>
    <col min="4392" max="4392" width="31" style="32" customWidth="1"/>
    <col min="4393" max="4393" width="35" style="32" customWidth="1"/>
    <col min="4394" max="4394" width="31" style="32" customWidth="1"/>
    <col min="4395" max="4395" width="37.44140625" style="32" customWidth="1"/>
    <col min="4396" max="4396" width="11.44140625" style="32" customWidth="1"/>
    <col min="4397" max="4397" width="54" style="32" customWidth="1"/>
    <col min="4398" max="4398" width="43.5546875" style="32" customWidth="1"/>
    <col min="4399" max="4399" width="44.5546875" style="32" customWidth="1"/>
    <col min="4400" max="4609" width="6.5546875" style="32"/>
    <col min="4610" max="4611" width="2.44140625" style="32" customWidth="1"/>
    <col min="4612" max="4612" width="11.5546875" style="32" hidden="1" customWidth="1"/>
    <col min="4613" max="4615" width="12.44140625" style="32" customWidth="1"/>
    <col min="4616" max="4616" width="12" style="32" customWidth="1"/>
    <col min="4617" max="4617" width="12.44140625" style="32" customWidth="1"/>
    <col min="4618" max="4618" width="13.44140625" style="32" customWidth="1"/>
    <col min="4619" max="4619" width="11.5546875" style="32" hidden="1" customWidth="1"/>
    <col min="4620" max="4622" width="13" style="32" customWidth="1"/>
    <col min="4623" max="4623" width="14.5546875" style="32" customWidth="1"/>
    <col min="4624" max="4625" width="13.44140625" style="32" customWidth="1"/>
    <col min="4626" max="4626" width="2.44140625" style="32" customWidth="1"/>
    <col min="4627" max="4627" width="13.44140625" style="32" customWidth="1"/>
    <col min="4628" max="4628" width="10.5546875" style="32" customWidth="1"/>
    <col min="4629" max="4629" width="12" style="32" customWidth="1"/>
    <col min="4630" max="4630" width="11.44140625" style="32" customWidth="1"/>
    <col min="4631" max="4631" width="16" style="32" customWidth="1"/>
    <col min="4632" max="4633" width="10.5546875" style="32" customWidth="1"/>
    <col min="4634" max="4634" width="15.5546875" style="32" customWidth="1"/>
    <col min="4635" max="4635" width="11.44140625" style="32" customWidth="1"/>
    <col min="4636" max="4636" width="12" style="32" customWidth="1"/>
    <col min="4637" max="4637" width="11.44140625" style="32" customWidth="1"/>
    <col min="4638" max="4638" width="12" style="32" customWidth="1"/>
    <col min="4639" max="4639" width="11.44140625" style="32" customWidth="1"/>
    <col min="4640" max="4640" width="12.44140625" style="32" customWidth="1"/>
    <col min="4641" max="4641" width="10.5546875" style="32" customWidth="1"/>
    <col min="4642" max="4642" width="19" style="32" customWidth="1"/>
    <col min="4643" max="4643" width="13.44140625" style="32" customWidth="1"/>
    <col min="4644" max="4644" width="18" style="32" customWidth="1"/>
    <col min="4645" max="4645" width="42.44140625" style="32" customWidth="1"/>
    <col min="4646" max="4646" width="31" style="32" customWidth="1"/>
    <col min="4647" max="4647" width="35" style="32" customWidth="1"/>
    <col min="4648" max="4648" width="31" style="32" customWidth="1"/>
    <col min="4649" max="4649" width="35" style="32" customWidth="1"/>
    <col min="4650" max="4650" width="31" style="32" customWidth="1"/>
    <col min="4651" max="4651" width="37.44140625" style="32" customWidth="1"/>
    <col min="4652" max="4652" width="11.44140625" style="32" customWidth="1"/>
    <col min="4653" max="4653" width="54" style="32" customWidth="1"/>
    <col min="4654" max="4654" width="43.5546875" style="32" customWidth="1"/>
    <col min="4655" max="4655" width="44.5546875" style="32" customWidth="1"/>
    <col min="4656" max="4865" width="6.5546875" style="32"/>
    <col min="4866" max="4867" width="2.44140625" style="32" customWidth="1"/>
    <col min="4868" max="4868" width="11.5546875" style="32" hidden="1" customWidth="1"/>
    <col min="4869" max="4871" width="12.44140625" style="32" customWidth="1"/>
    <col min="4872" max="4872" width="12" style="32" customWidth="1"/>
    <col min="4873" max="4873" width="12.44140625" style="32" customWidth="1"/>
    <col min="4874" max="4874" width="13.44140625" style="32" customWidth="1"/>
    <col min="4875" max="4875" width="11.5546875" style="32" hidden="1" customWidth="1"/>
    <col min="4876" max="4878" width="13" style="32" customWidth="1"/>
    <col min="4879" max="4879" width="14.5546875" style="32" customWidth="1"/>
    <col min="4880" max="4881" width="13.44140625" style="32" customWidth="1"/>
    <col min="4882" max="4882" width="2.44140625" style="32" customWidth="1"/>
    <col min="4883" max="4883" width="13.44140625" style="32" customWidth="1"/>
    <col min="4884" max="4884" width="10.5546875" style="32" customWidth="1"/>
    <col min="4885" max="4885" width="12" style="32" customWidth="1"/>
    <col min="4886" max="4886" width="11.44140625" style="32" customWidth="1"/>
    <col min="4887" max="4887" width="16" style="32" customWidth="1"/>
    <col min="4888" max="4889" width="10.5546875" style="32" customWidth="1"/>
    <col min="4890" max="4890" width="15.5546875" style="32" customWidth="1"/>
    <col min="4891" max="4891" width="11.44140625" style="32" customWidth="1"/>
    <col min="4892" max="4892" width="12" style="32" customWidth="1"/>
    <col min="4893" max="4893" width="11.44140625" style="32" customWidth="1"/>
    <col min="4894" max="4894" width="12" style="32" customWidth="1"/>
    <col min="4895" max="4895" width="11.44140625" style="32" customWidth="1"/>
    <col min="4896" max="4896" width="12.44140625" style="32" customWidth="1"/>
    <col min="4897" max="4897" width="10.5546875" style="32" customWidth="1"/>
    <col min="4898" max="4898" width="19" style="32" customWidth="1"/>
    <col min="4899" max="4899" width="13.44140625" style="32" customWidth="1"/>
    <col min="4900" max="4900" width="18" style="32" customWidth="1"/>
    <col min="4901" max="4901" width="42.44140625" style="32" customWidth="1"/>
    <col min="4902" max="4902" width="31" style="32" customWidth="1"/>
    <col min="4903" max="4903" width="35" style="32" customWidth="1"/>
    <col min="4904" max="4904" width="31" style="32" customWidth="1"/>
    <col min="4905" max="4905" width="35" style="32" customWidth="1"/>
    <col min="4906" max="4906" width="31" style="32" customWidth="1"/>
    <col min="4907" max="4907" width="37.44140625" style="32" customWidth="1"/>
    <col min="4908" max="4908" width="11.44140625" style="32" customWidth="1"/>
    <col min="4909" max="4909" width="54" style="32" customWidth="1"/>
    <col min="4910" max="4910" width="43.5546875" style="32" customWidth="1"/>
    <col min="4911" max="4911" width="44.5546875" style="32" customWidth="1"/>
    <col min="4912" max="5121" width="6.5546875" style="32"/>
    <col min="5122" max="5123" width="2.44140625" style="32" customWidth="1"/>
    <col min="5124" max="5124" width="11.5546875" style="32" hidden="1" customWidth="1"/>
    <col min="5125" max="5127" width="12.44140625" style="32" customWidth="1"/>
    <col min="5128" max="5128" width="12" style="32" customWidth="1"/>
    <col min="5129" max="5129" width="12.44140625" style="32" customWidth="1"/>
    <col min="5130" max="5130" width="13.44140625" style="32" customWidth="1"/>
    <col min="5131" max="5131" width="11.5546875" style="32" hidden="1" customWidth="1"/>
    <col min="5132" max="5134" width="13" style="32" customWidth="1"/>
    <col min="5135" max="5135" width="14.5546875" style="32" customWidth="1"/>
    <col min="5136" max="5137" width="13.44140625" style="32" customWidth="1"/>
    <col min="5138" max="5138" width="2.44140625" style="32" customWidth="1"/>
    <col min="5139" max="5139" width="13.44140625" style="32" customWidth="1"/>
    <col min="5140" max="5140" width="10.5546875" style="32" customWidth="1"/>
    <col min="5141" max="5141" width="12" style="32" customWidth="1"/>
    <col min="5142" max="5142" width="11.44140625" style="32" customWidth="1"/>
    <col min="5143" max="5143" width="16" style="32" customWidth="1"/>
    <col min="5144" max="5145" width="10.5546875" style="32" customWidth="1"/>
    <col min="5146" max="5146" width="15.5546875" style="32" customWidth="1"/>
    <col min="5147" max="5147" width="11.44140625" style="32" customWidth="1"/>
    <col min="5148" max="5148" width="12" style="32" customWidth="1"/>
    <col min="5149" max="5149" width="11.44140625" style="32" customWidth="1"/>
    <col min="5150" max="5150" width="12" style="32" customWidth="1"/>
    <col min="5151" max="5151" width="11.44140625" style="32" customWidth="1"/>
    <col min="5152" max="5152" width="12.44140625" style="32" customWidth="1"/>
    <col min="5153" max="5153" width="10.5546875" style="32" customWidth="1"/>
    <col min="5154" max="5154" width="19" style="32" customWidth="1"/>
    <col min="5155" max="5155" width="13.44140625" style="32" customWidth="1"/>
    <col min="5156" max="5156" width="18" style="32" customWidth="1"/>
    <col min="5157" max="5157" width="42.44140625" style="32" customWidth="1"/>
    <col min="5158" max="5158" width="31" style="32" customWidth="1"/>
    <col min="5159" max="5159" width="35" style="32" customWidth="1"/>
    <col min="5160" max="5160" width="31" style="32" customWidth="1"/>
    <col min="5161" max="5161" width="35" style="32" customWidth="1"/>
    <col min="5162" max="5162" width="31" style="32" customWidth="1"/>
    <col min="5163" max="5163" width="37.44140625" style="32" customWidth="1"/>
    <col min="5164" max="5164" width="11.44140625" style="32" customWidth="1"/>
    <col min="5165" max="5165" width="54" style="32" customWidth="1"/>
    <col min="5166" max="5166" width="43.5546875" style="32" customWidth="1"/>
    <col min="5167" max="5167" width="44.5546875" style="32" customWidth="1"/>
    <col min="5168" max="5377" width="6.5546875" style="32"/>
    <col min="5378" max="5379" width="2.44140625" style="32" customWidth="1"/>
    <col min="5380" max="5380" width="11.5546875" style="32" hidden="1" customWidth="1"/>
    <col min="5381" max="5383" width="12.44140625" style="32" customWidth="1"/>
    <col min="5384" max="5384" width="12" style="32" customWidth="1"/>
    <col min="5385" max="5385" width="12.44140625" style="32" customWidth="1"/>
    <col min="5386" max="5386" width="13.44140625" style="32" customWidth="1"/>
    <col min="5387" max="5387" width="11.5546875" style="32" hidden="1" customWidth="1"/>
    <col min="5388" max="5390" width="13" style="32" customWidth="1"/>
    <col min="5391" max="5391" width="14.5546875" style="32" customWidth="1"/>
    <col min="5392" max="5393" width="13.44140625" style="32" customWidth="1"/>
    <col min="5394" max="5394" width="2.44140625" style="32" customWidth="1"/>
    <col min="5395" max="5395" width="13.44140625" style="32" customWidth="1"/>
    <col min="5396" max="5396" width="10.5546875" style="32" customWidth="1"/>
    <col min="5397" max="5397" width="12" style="32" customWidth="1"/>
    <col min="5398" max="5398" width="11.44140625" style="32" customWidth="1"/>
    <col min="5399" max="5399" width="16" style="32" customWidth="1"/>
    <col min="5400" max="5401" width="10.5546875" style="32" customWidth="1"/>
    <col min="5402" max="5402" width="15.5546875" style="32" customWidth="1"/>
    <col min="5403" max="5403" width="11.44140625" style="32" customWidth="1"/>
    <col min="5404" max="5404" width="12" style="32" customWidth="1"/>
    <col min="5405" max="5405" width="11.44140625" style="32" customWidth="1"/>
    <col min="5406" max="5406" width="12" style="32" customWidth="1"/>
    <col min="5407" max="5407" width="11.44140625" style="32" customWidth="1"/>
    <col min="5408" max="5408" width="12.44140625" style="32" customWidth="1"/>
    <col min="5409" max="5409" width="10.5546875" style="32" customWidth="1"/>
    <col min="5410" max="5410" width="19" style="32" customWidth="1"/>
    <col min="5411" max="5411" width="13.44140625" style="32" customWidth="1"/>
    <col min="5412" max="5412" width="18" style="32" customWidth="1"/>
    <col min="5413" max="5413" width="42.44140625" style="32" customWidth="1"/>
    <col min="5414" max="5414" width="31" style="32" customWidth="1"/>
    <col min="5415" max="5415" width="35" style="32" customWidth="1"/>
    <col min="5416" max="5416" width="31" style="32" customWidth="1"/>
    <col min="5417" max="5417" width="35" style="32" customWidth="1"/>
    <col min="5418" max="5418" width="31" style="32" customWidth="1"/>
    <col min="5419" max="5419" width="37.44140625" style="32" customWidth="1"/>
    <col min="5420" max="5420" width="11.44140625" style="32" customWidth="1"/>
    <col min="5421" max="5421" width="54" style="32" customWidth="1"/>
    <col min="5422" max="5422" width="43.5546875" style="32" customWidth="1"/>
    <col min="5423" max="5423" width="44.5546875" style="32" customWidth="1"/>
    <col min="5424" max="5633" width="6.5546875" style="32"/>
    <col min="5634" max="5635" width="2.44140625" style="32" customWidth="1"/>
    <col min="5636" max="5636" width="11.5546875" style="32" hidden="1" customWidth="1"/>
    <col min="5637" max="5639" width="12.44140625" style="32" customWidth="1"/>
    <col min="5640" max="5640" width="12" style="32" customWidth="1"/>
    <col min="5641" max="5641" width="12.44140625" style="32" customWidth="1"/>
    <col min="5642" max="5642" width="13.44140625" style="32" customWidth="1"/>
    <col min="5643" max="5643" width="11.5546875" style="32" hidden="1" customWidth="1"/>
    <col min="5644" max="5646" width="13" style="32" customWidth="1"/>
    <col min="5647" max="5647" width="14.5546875" style="32" customWidth="1"/>
    <col min="5648" max="5649" width="13.44140625" style="32" customWidth="1"/>
    <col min="5650" max="5650" width="2.44140625" style="32" customWidth="1"/>
    <col min="5651" max="5651" width="13.44140625" style="32" customWidth="1"/>
    <col min="5652" max="5652" width="10.5546875" style="32" customWidth="1"/>
    <col min="5653" max="5653" width="12" style="32" customWidth="1"/>
    <col min="5654" max="5654" width="11.44140625" style="32" customWidth="1"/>
    <col min="5655" max="5655" width="16" style="32" customWidth="1"/>
    <col min="5656" max="5657" width="10.5546875" style="32" customWidth="1"/>
    <col min="5658" max="5658" width="15.5546875" style="32" customWidth="1"/>
    <col min="5659" max="5659" width="11.44140625" style="32" customWidth="1"/>
    <col min="5660" max="5660" width="12" style="32" customWidth="1"/>
    <col min="5661" max="5661" width="11.44140625" style="32" customWidth="1"/>
    <col min="5662" max="5662" width="12" style="32" customWidth="1"/>
    <col min="5663" max="5663" width="11.44140625" style="32" customWidth="1"/>
    <col min="5664" max="5664" width="12.44140625" style="32" customWidth="1"/>
    <col min="5665" max="5665" width="10.5546875" style="32" customWidth="1"/>
    <col min="5666" max="5666" width="19" style="32" customWidth="1"/>
    <col min="5667" max="5667" width="13.44140625" style="32" customWidth="1"/>
    <col min="5668" max="5668" width="18" style="32" customWidth="1"/>
    <col min="5669" max="5669" width="42.44140625" style="32" customWidth="1"/>
    <col min="5670" max="5670" width="31" style="32" customWidth="1"/>
    <col min="5671" max="5671" width="35" style="32" customWidth="1"/>
    <col min="5672" max="5672" width="31" style="32" customWidth="1"/>
    <col min="5673" max="5673" width="35" style="32" customWidth="1"/>
    <col min="5674" max="5674" width="31" style="32" customWidth="1"/>
    <col min="5675" max="5675" width="37.44140625" style="32" customWidth="1"/>
    <col min="5676" max="5676" width="11.44140625" style="32" customWidth="1"/>
    <col min="5677" max="5677" width="54" style="32" customWidth="1"/>
    <col min="5678" max="5678" width="43.5546875" style="32" customWidth="1"/>
    <col min="5679" max="5679" width="44.5546875" style="32" customWidth="1"/>
    <col min="5680" max="5889" width="6.5546875" style="32"/>
    <col min="5890" max="5891" width="2.44140625" style="32" customWidth="1"/>
    <col min="5892" max="5892" width="11.5546875" style="32" hidden="1" customWidth="1"/>
    <col min="5893" max="5895" width="12.44140625" style="32" customWidth="1"/>
    <col min="5896" max="5896" width="12" style="32" customWidth="1"/>
    <col min="5897" max="5897" width="12.44140625" style="32" customWidth="1"/>
    <col min="5898" max="5898" width="13.44140625" style="32" customWidth="1"/>
    <col min="5899" max="5899" width="11.5546875" style="32" hidden="1" customWidth="1"/>
    <col min="5900" max="5902" width="13" style="32" customWidth="1"/>
    <col min="5903" max="5903" width="14.5546875" style="32" customWidth="1"/>
    <col min="5904" max="5905" width="13.44140625" style="32" customWidth="1"/>
    <col min="5906" max="5906" width="2.44140625" style="32" customWidth="1"/>
    <col min="5907" max="5907" width="13.44140625" style="32" customWidth="1"/>
    <col min="5908" max="5908" width="10.5546875" style="32" customWidth="1"/>
    <col min="5909" max="5909" width="12" style="32" customWidth="1"/>
    <col min="5910" max="5910" width="11.44140625" style="32" customWidth="1"/>
    <col min="5911" max="5911" width="16" style="32" customWidth="1"/>
    <col min="5912" max="5913" width="10.5546875" style="32" customWidth="1"/>
    <col min="5914" max="5914" width="15.5546875" style="32" customWidth="1"/>
    <col min="5915" max="5915" width="11.44140625" style="32" customWidth="1"/>
    <col min="5916" max="5916" width="12" style="32" customWidth="1"/>
    <col min="5917" max="5917" width="11.44140625" style="32" customWidth="1"/>
    <col min="5918" max="5918" width="12" style="32" customWidth="1"/>
    <col min="5919" max="5919" width="11.44140625" style="32" customWidth="1"/>
    <col min="5920" max="5920" width="12.44140625" style="32" customWidth="1"/>
    <col min="5921" max="5921" width="10.5546875" style="32" customWidth="1"/>
    <col min="5922" max="5922" width="19" style="32" customWidth="1"/>
    <col min="5923" max="5923" width="13.44140625" style="32" customWidth="1"/>
    <col min="5924" max="5924" width="18" style="32" customWidth="1"/>
    <col min="5925" max="5925" width="42.44140625" style="32" customWidth="1"/>
    <col min="5926" max="5926" width="31" style="32" customWidth="1"/>
    <col min="5927" max="5927" width="35" style="32" customWidth="1"/>
    <col min="5928" max="5928" width="31" style="32" customWidth="1"/>
    <col min="5929" max="5929" width="35" style="32" customWidth="1"/>
    <col min="5930" max="5930" width="31" style="32" customWidth="1"/>
    <col min="5931" max="5931" width="37.44140625" style="32" customWidth="1"/>
    <col min="5932" max="5932" width="11.44140625" style="32" customWidth="1"/>
    <col min="5933" max="5933" width="54" style="32" customWidth="1"/>
    <col min="5934" max="5934" width="43.5546875" style="32" customWidth="1"/>
    <col min="5935" max="5935" width="44.5546875" style="32" customWidth="1"/>
    <col min="5936" max="6145" width="6.5546875" style="32"/>
    <col min="6146" max="6147" width="2.44140625" style="32" customWidth="1"/>
    <col min="6148" max="6148" width="11.5546875" style="32" hidden="1" customWidth="1"/>
    <col min="6149" max="6151" width="12.44140625" style="32" customWidth="1"/>
    <col min="6152" max="6152" width="12" style="32" customWidth="1"/>
    <col min="6153" max="6153" width="12.44140625" style="32" customWidth="1"/>
    <col min="6154" max="6154" width="13.44140625" style="32" customWidth="1"/>
    <col min="6155" max="6155" width="11.5546875" style="32" hidden="1" customWidth="1"/>
    <col min="6156" max="6158" width="13" style="32" customWidth="1"/>
    <col min="6159" max="6159" width="14.5546875" style="32" customWidth="1"/>
    <col min="6160" max="6161" width="13.44140625" style="32" customWidth="1"/>
    <col min="6162" max="6162" width="2.44140625" style="32" customWidth="1"/>
    <col min="6163" max="6163" width="13.44140625" style="32" customWidth="1"/>
    <col min="6164" max="6164" width="10.5546875" style="32" customWidth="1"/>
    <col min="6165" max="6165" width="12" style="32" customWidth="1"/>
    <col min="6166" max="6166" width="11.44140625" style="32" customWidth="1"/>
    <col min="6167" max="6167" width="16" style="32" customWidth="1"/>
    <col min="6168" max="6169" width="10.5546875" style="32" customWidth="1"/>
    <col min="6170" max="6170" width="15.5546875" style="32" customWidth="1"/>
    <col min="6171" max="6171" width="11.44140625" style="32" customWidth="1"/>
    <col min="6172" max="6172" width="12" style="32" customWidth="1"/>
    <col min="6173" max="6173" width="11.44140625" style="32" customWidth="1"/>
    <col min="6174" max="6174" width="12" style="32" customWidth="1"/>
    <col min="6175" max="6175" width="11.44140625" style="32" customWidth="1"/>
    <col min="6176" max="6176" width="12.44140625" style="32" customWidth="1"/>
    <col min="6177" max="6177" width="10.5546875" style="32" customWidth="1"/>
    <col min="6178" max="6178" width="19" style="32" customWidth="1"/>
    <col min="6179" max="6179" width="13.44140625" style="32" customWidth="1"/>
    <col min="6180" max="6180" width="18" style="32" customWidth="1"/>
    <col min="6181" max="6181" width="42.44140625" style="32" customWidth="1"/>
    <col min="6182" max="6182" width="31" style="32" customWidth="1"/>
    <col min="6183" max="6183" width="35" style="32" customWidth="1"/>
    <col min="6184" max="6184" width="31" style="32" customWidth="1"/>
    <col min="6185" max="6185" width="35" style="32" customWidth="1"/>
    <col min="6186" max="6186" width="31" style="32" customWidth="1"/>
    <col min="6187" max="6187" width="37.44140625" style="32" customWidth="1"/>
    <col min="6188" max="6188" width="11.44140625" style="32" customWidth="1"/>
    <col min="6189" max="6189" width="54" style="32" customWidth="1"/>
    <col min="6190" max="6190" width="43.5546875" style="32" customWidth="1"/>
    <col min="6191" max="6191" width="44.5546875" style="32" customWidth="1"/>
    <col min="6192" max="6401" width="6.5546875" style="32"/>
    <col min="6402" max="6403" width="2.44140625" style="32" customWidth="1"/>
    <col min="6404" max="6404" width="11.5546875" style="32" hidden="1" customWidth="1"/>
    <col min="6405" max="6407" width="12.44140625" style="32" customWidth="1"/>
    <col min="6408" max="6408" width="12" style="32" customWidth="1"/>
    <col min="6409" max="6409" width="12.44140625" style="32" customWidth="1"/>
    <col min="6410" max="6410" width="13.44140625" style="32" customWidth="1"/>
    <col min="6411" max="6411" width="11.5546875" style="32" hidden="1" customWidth="1"/>
    <col min="6412" max="6414" width="13" style="32" customWidth="1"/>
    <col min="6415" max="6415" width="14.5546875" style="32" customWidth="1"/>
    <col min="6416" max="6417" width="13.44140625" style="32" customWidth="1"/>
    <col min="6418" max="6418" width="2.44140625" style="32" customWidth="1"/>
    <col min="6419" max="6419" width="13.44140625" style="32" customWidth="1"/>
    <col min="6420" max="6420" width="10.5546875" style="32" customWidth="1"/>
    <col min="6421" max="6421" width="12" style="32" customWidth="1"/>
    <col min="6422" max="6422" width="11.44140625" style="32" customWidth="1"/>
    <col min="6423" max="6423" width="16" style="32" customWidth="1"/>
    <col min="6424" max="6425" width="10.5546875" style="32" customWidth="1"/>
    <col min="6426" max="6426" width="15.5546875" style="32" customWidth="1"/>
    <col min="6427" max="6427" width="11.44140625" style="32" customWidth="1"/>
    <col min="6428" max="6428" width="12" style="32" customWidth="1"/>
    <col min="6429" max="6429" width="11.44140625" style="32" customWidth="1"/>
    <col min="6430" max="6430" width="12" style="32" customWidth="1"/>
    <col min="6431" max="6431" width="11.44140625" style="32" customWidth="1"/>
    <col min="6432" max="6432" width="12.44140625" style="32" customWidth="1"/>
    <col min="6433" max="6433" width="10.5546875" style="32" customWidth="1"/>
    <col min="6434" max="6434" width="19" style="32" customWidth="1"/>
    <col min="6435" max="6435" width="13.44140625" style="32" customWidth="1"/>
    <col min="6436" max="6436" width="18" style="32" customWidth="1"/>
    <col min="6437" max="6437" width="42.44140625" style="32" customWidth="1"/>
    <col min="6438" max="6438" width="31" style="32" customWidth="1"/>
    <col min="6439" max="6439" width="35" style="32" customWidth="1"/>
    <col min="6440" max="6440" width="31" style="32" customWidth="1"/>
    <col min="6441" max="6441" width="35" style="32" customWidth="1"/>
    <col min="6442" max="6442" width="31" style="32" customWidth="1"/>
    <col min="6443" max="6443" width="37.44140625" style="32" customWidth="1"/>
    <col min="6444" max="6444" width="11.44140625" style="32" customWidth="1"/>
    <col min="6445" max="6445" width="54" style="32" customWidth="1"/>
    <col min="6446" max="6446" width="43.5546875" style="32" customWidth="1"/>
    <col min="6447" max="6447" width="44.5546875" style="32" customWidth="1"/>
    <col min="6448" max="6657" width="6.5546875" style="32"/>
    <col min="6658" max="6659" width="2.44140625" style="32" customWidth="1"/>
    <col min="6660" max="6660" width="11.5546875" style="32" hidden="1" customWidth="1"/>
    <col min="6661" max="6663" width="12.44140625" style="32" customWidth="1"/>
    <col min="6664" max="6664" width="12" style="32" customWidth="1"/>
    <col min="6665" max="6665" width="12.44140625" style="32" customWidth="1"/>
    <col min="6666" max="6666" width="13.44140625" style="32" customWidth="1"/>
    <col min="6667" max="6667" width="11.5546875" style="32" hidden="1" customWidth="1"/>
    <col min="6668" max="6670" width="13" style="32" customWidth="1"/>
    <col min="6671" max="6671" width="14.5546875" style="32" customWidth="1"/>
    <col min="6672" max="6673" width="13.44140625" style="32" customWidth="1"/>
    <col min="6674" max="6674" width="2.44140625" style="32" customWidth="1"/>
    <col min="6675" max="6675" width="13.44140625" style="32" customWidth="1"/>
    <col min="6676" max="6676" width="10.5546875" style="32" customWidth="1"/>
    <col min="6677" max="6677" width="12" style="32" customWidth="1"/>
    <col min="6678" max="6678" width="11.44140625" style="32" customWidth="1"/>
    <col min="6679" max="6679" width="16" style="32" customWidth="1"/>
    <col min="6680" max="6681" width="10.5546875" style="32" customWidth="1"/>
    <col min="6682" max="6682" width="15.5546875" style="32" customWidth="1"/>
    <col min="6683" max="6683" width="11.44140625" style="32" customWidth="1"/>
    <col min="6684" max="6684" width="12" style="32" customWidth="1"/>
    <col min="6685" max="6685" width="11.44140625" style="32" customWidth="1"/>
    <col min="6686" max="6686" width="12" style="32" customWidth="1"/>
    <col min="6687" max="6687" width="11.44140625" style="32" customWidth="1"/>
    <col min="6688" max="6688" width="12.44140625" style="32" customWidth="1"/>
    <col min="6689" max="6689" width="10.5546875" style="32" customWidth="1"/>
    <col min="6690" max="6690" width="19" style="32" customWidth="1"/>
    <col min="6691" max="6691" width="13.44140625" style="32" customWidth="1"/>
    <col min="6692" max="6692" width="18" style="32" customWidth="1"/>
    <col min="6693" max="6693" width="42.44140625" style="32" customWidth="1"/>
    <col min="6694" max="6694" width="31" style="32" customWidth="1"/>
    <col min="6695" max="6695" width="35" style="32" customWidth="1"/>
    <col min="6696" max="6696" width="31" style="32" customWidth="1"/>
    <col min="6697" max="6697" width="35" style="32" customWidth="1"/>
    <col min="6698" max="6698" width="31" style="32" customWidth="1"/>
    <col min="6699" max="6699" width="37.44140625" style="32" customWidth="1"/>
    <col min="6700" max="6700" width="11.44140625" style="32" customWidth="1"/>
    <col min="6701" max="6701" width="54" style="32" customWidth="1"/>
    <col min="6702" max="6702" width="43.5546875" style="32" customWidth="1"/>
    <col min="6703" max="6703" width="44.5546875" style="32" customWidth="1"/>
    <col min="6704" max="6913" width="6.5546875" style="32"/>
    <col min="6914" max="6915" width="2.44140625" style="32" customWidth="1"/>
    <col min="6916" max="6916" width="11.5546875" style="32" hidden="1" customWidth="1"/>
    <col min="6917" max="6919" width="12.44140625" style="32" customWidth="1"/>
    <col min="6920" max="6920" width="12" style="32" customWidth="1"/>
    <col min="6921" max="6921" width="12.44140625" style="32" customWidth="1"/>
    <col min="6922" max="6922" width="13.44140625" style="32" customWidth="1"/>
    <col min="6923" max="6923" width="11.5546875" style="32" hidden="1" customWidth="1"/>
    <col min="6924" max="6926" width="13" style="32" customWidth="1"/>
    <col min="6927" max="6927" width="14.5546875" style="32" customWidth="1"/>
    <col min="6928" max="6929" width="13.44140625" style="32" customWidth="1"/>
    <col min="6930" max="6930" width="2.44140625" style="32" customWidth="1"/>
    <col min="6931" max="6931" width="13.44140625" style="32" customWidth="1"/>
    <col min="6932" max="6932" width="10.5546875" style="32" customWidth="1"/>
    <col min="6933" max="6933" width="12" style="32" customWidth="1"/>
    <col min="6934" max="6934" width="11.44140625" style="32" customWidth="1"/>
    <col min="6935" max="6935" width="16" style="32" customWidth="1"/>
    <col min="6936" max="6937" width="10.5546875" style="32" customWidth="1"/>
    <col min="6938" max="6938" width="15.5546875" style="32" customWidth="1"/>
    <col min="6939" max="6939" width="11.44140625" style="32" customWidth="1"/>
    <col min="6940" max="6940" width="12" style="32" customWidth="1"/>
    <col min="6941" max="6941" width="11.44140625" style="32" customWidth="1"/>
    <col min="6942" max="6942" width="12" style="32" customWidth="1"/>
    <col min="6943" max="6943" width="11.44140625" style="32" customWidth="1"/>
    <col min="6944" max="6944" width="12.44140625" style="32" customWidth="1"/>
    <col min="6945" max="6945" width="10.5546875" style="32" customWidth="1"/>
    <col min="6946" max="6946" width="19" style="32" customWidth="1"/>
    <col min="6947" max="6947" width="13.44140625" style="32" customWidth="1"/>
    <col min="6948" max="6948" width="18" style="32" customWidth="1"/>
    <col min="6949" max="6949" width="42.44140625" style="32" customWidth="1"/>
    <col min="6950" max="6950" width="31" style="32" customWidth="1"/>
    <col min="6951" max="6951" width="35" style="32" customWidth="1"/>
    <col min="6952" max="6952" width="31" style="32" customWidth="1"/>
    <col min="6953" max="6953" width="35" style="32" customWidth="1"/>
    <col min="6954" max="6954" width="31" style="32" customWidth="1"/>
    <col min="6955" max="6955" width="37.44140625" style="32" customWidth="1"/>
    <col min="6956" max="6956" width="11.44140625" style="32" customWidth="1"/>
    <col min="6957" max="6957" width="54" style="32" customWidth="1"/>
    <col min="6958" max="6958" width="43.5546875" style="32" customWidth="1"/>
    <col min="6959" max="6959" width="44.5546875" style="32" customWidth="1"/>
    <col min="6960" max="7169" width="6.5546875" style="32"/>
    <col min="7170" max="7171" width="2.44140625" style="32" customWidth="1"/>
    <col min="7172" max="7172" width="11.5546875" style="32" hidden="1" customWidth="1"/>
    <col min="7173" max="7175" width="12.44140625" style="32" customWidth="1"/>
    <col min="7176" max="7176" width="12" style="32" customWidth="1"/>
    <col min="7177" max="7177" width="12.44140625" style="32" customWidth="1"/>
    <col min="7178" max="7178" width="13.44140625" style="32" customWidth="1"/>
    <col min="7179" max="7179" width="11.5546875" style="32" hidden="1" customWidth="1"/>
    <col min="7180" max="7182" width="13" style="32" customWidth="1"/>
    <col min="7183" max="7183" width="14.5546875" style="32" customWidth="1"/>
    <col min="7184" max="7185" width="13.44140625" style="32" customWidth="1"/>
    <col min="7186" max="7186" width="2.44140625" style="32" customWidth="1"/>
    <col min="7187" max="7187" width="13.44140625" style="32" customWidth="1"/>
    <col min="7188" max="7188" width="10.5546875" style="32" customWidth="1"/>
    <col min="7189" max="7189" width="12" style="32" customWidth="1"/>
    <col min="7190" max="7190" width="11.44140625" style="32" customWidth="1"/>
    <col min="7191" max="7191" width="16" style="32" customWidth="1"/>
    <col min="7192" max="7193" width="10.5546875" style="32" customWidth="1"/>
    <col min="7194" max="7194" width="15.5546875" style="32" customWidth="1"/>
    <col min="7195" max="7195" width="11.44140625" style="32" customWidth="1"/>
    <col min="7196" max="7196" width="12" style="32" customWidth="1"/>
    <col min="7197" max="7197" width="11.44140625" style="32" customWidth="1"/>
    <col min="7198" max="7198" width="12" style="32" customWidth="1"/>
    <col min="7199" max="7199" width="11.44140625" style="32" customWidth="1"/>
    <col min="7200" max="7200" width="12.44140625" style="32" customWidth="1"/>
    <col min="7201" max="7201" width="10.5546875" style="32" customWidth="1"/>
    <col min="7202" max="7202" width="19" style="32" customWidth="1"/>
    <col min="7203" max="7203" width="13.44140625" style="32" customWidth="1"/>
    <col min="7204" max="7204" width="18" style="32" customWidth="1"/>
    <col min="7205" max="7205" width="42.44140625" style="32" customWidth="1"/>
    <col min="7206" max="7206" width="31" style="32" customWidth="1"/>
    <col min="7207" max="7207" width="35" style="32" customWidth="1"/>
    <col min="7208" max="7208" width="31" style="32" customWidth="1"/>
    <col min="7209" max="7209" width="35" style="32" customWidth="1"/>
    <col min="7210" max="7210" width="31" style="32" customWidth="1"/>
    <col min="7211" max="7211" width="37.44140625" style="32" customWidth="1"/>
    <col min="7212" max="7212" width="11.44140625" style="32" customWidth="1"/>
    <col min="7213" max="7213" width="54" style="32" customWidth="1"/>
    <col min="7214" max="7214" width="43.5546875" style="32" customWidth="1"/>
    <col min="7215" max="7215" width="44.5546875" style="32" customWidth="1"/>
    <col min="7216" max="7425" width="6.5546875" style="32"/>
    <col min="7426" max="7427" width="2.44140625" style="32" customWidth="1"/>
    <col min="7428" max="7428" width="11.5546875" style="32" hidden="1" customWidth="1"/>
    <col min="7429" max="7431" width="12.44140625" style="32" customWidth="1"/>
    <col min="7432" max="7432" width="12" style="32" customWidth="1"/>
    <col min="7433" max="7433" width="12.44140625" style="32" customWidth="1"/>
    <col min="7434" max="7434" width="13.44140625" style="32" customWidth="1"/>
    <col min="7435" max="7435" width="11.5546875" style="32" hidden="1" customWidth="1"/>
    <col min="7436" max="7438" width="13" style="32" customWidth="1"/>
    <col min="7439" max="7439" width="14.5546875" style="32" customWidth="1"/>
    <col min="7440" max="7441" width="13.44140625" style="32" customWidth="1"/>
    <col min="7442" max="7442" width="2.44140625" style="32" customWidth="1"/>
    <col min="7443" max="7443" width="13.44140625" style="32" customWidth="1"/>
    <col min="7444" max="7444" width="10.5546875" style="32" customWidth="1"/>
    <col min="7445" max="7445" width="12" style="32" customWidth="1"/>
    <col min="7446" max="7446" width="11.44140625" style="32" customWidth="1"/>
    <col min="7447" max="7447" width="16" style="32" customWidth="1"/>
    <col min="7448" max="7449" width="10.5546875" style="32" customWidth="1"/>
    <col min="7450" max="7450" width="15.5546875" style="32" customWidth="1"/>
    <col min="7451" max="7451" width="11.44140625" style="32" customWidth="1"/>
    <col min="7452" max="7452" width="12" style="32" customWidth="1"/>
    <col min="7453" max="7453" width="11.44140625" style="32" customWidth="1"/>
    <col min="7454" max="7454" width="12" style="32" customWidth="1"/>
    <col min="7455" max="7455" width="11.44140625" style="32" customWidth="1"/>
    <col min="7456" max="7456" width="12.44140625" style="32" customWidth="1"/>
    <col min="7457" max="7457" width="10.5546875" style="32" customWidth="1"/>
    <col min="7458" max="7458" width="19" style="32" customWidth="1"/>
    <col min="7459" max="7459" width="13.44140625" style="32" customWidth="1"/>
    <col min="7460" max="7460" width="18" style="32" customWidth="1"/>
    <col min="7461" max="7461" width="42.44140625" style="32" customWidth="1"/>
    <col min="7462" max="7462" width="31" style="32" customWidth="1"/>
    <col min="7463" max="7463" width="35" style="32" customWidth="1"/>
    <col min="7464" max="7464" width="31" style="32" customWidth="1"/>
    <col min="7465" max="7465" width="35" style="32" customWidth="1"/>
    <col min="7466" max="7466" width="31" style="32" customWidth="1"/>
    <col min="7467" max="7467" width="37.44140625" style="32" customWidth="1"/>
    <col min="7468" max="7468" width="11.44140625" style="32" customWidth="1"/>
    <col min="7469" max="7469" width="54" style="32" customWidth="1"/>
    <col min="7470" max="7470" width="43.5546875" style="32" customWidth="1"/>
    <col min="7471" max="7471" width="44.5546875" style="32" customWidth="1"/>
    <col min="7472" max="7681" width="6.5546875" style="32"/>
    <col min="7682" max="7683" width="2.44140625" style="32" customWidth="1"/>
    <col min="7684" max="7684" width="11.5546875" style="32" hidden="1" customWidth="1"/>
    <col min="7685" max="7687" width="12.44140625" style="32" customWidth="1"/>
    <col min="7688" max="7688" width="12" style="32" customWidth="1"/>
    <col min="7689" max="7689" width="12.44140625" style="32" customWidth="1"/>
    <col min="7690" max="7690" width="13.44140625" style="32" customWidth="1"/>
    <col min="7691" max="7691" width="11.5546875" style="32" hidden="1" customWidth="1"/>
    <col min="7692" max="7694" width="13" style="32" customWidth="1"/>
    <col min="7695" max="7695" width="14.5546875" style="32" customWidth="1"/>
    <col min="7696" max="7697" width="13.44140625" style="32" customWidth="1"/>
    <col min="7698" max="7698" width="2.44140625" style="32" customWidth="1"/>
    <col min="7699" max="7699" width="13.44140625" style="32" customWidth="1"/>
    <col min="7700" max="7700" width="10.5546875" style="32" customWidth="1"/>
    <col min="7701" max="7701" width="12" style="32" customWidth="1"/>
    <col min="7702" max="7702" width="11.44140625" style="32" customWidth="1"/>
    <col min="7703" max="7703" width="16" style="32" customWidth="1"/>
    <col min="7704" max="7705" width="10.5546875" style="32" customWidth="1"/>
    <col min="7706" max="7706" width="15.5546875" style="32" customWidth="1"/>
    <col min="7707" max="7707" width="11.44140625" style="32" customWidth="1"/>
    <col min="7708" max="7708" width="12" style="32" customWidth="1"/>
    <col min="7709" max="7709" width="11.44140625" style="32" customWidth="1"/>
    <col min="7710" max="7710" width="12" style="32" customWidth="1"/>
    <col min="7711" max="7711" width="11.44140625" style="32" customWidth="1"/>
    <col min="7712" max="7712" width="12.44140625" style="32" customWidth="1"/>
    <col min="7713" max="7713" width="10.5546875" style="32" customWidth="1"/>
    <col min="7714" max="7714" width="19" style="32" customWidth="1"/>
    <col min="7715" max="7715" width="13.44140625" style="32" customWidth="1"/>
    <col min="7716" max="7716" width="18" style="32" customWidth="1"/>
    <col min="7717" max="7717" width="42.44140625" style="32" customWidth="1"/>
    <col min="7718" max="7718" width="31" style="32" customWidth="1"/>
    <col min="7719" max="7719" width="35" style="32" customWidth="1"/>
    <col min="7720" max="7720" width="31" style="32" customWidth="1"/>
    <col min="7721" max="7721" width="35" style="32" customWidth="1"/>
    <col min="7722" max="7722" width="31" style="32" customWidth="1"/>
    <col min="7723" max="7723" width="37.44140625" style="32" customWidth="1"/>
    <col min="7724" max="7724" width="11.44140625" style="32" customWidth="1"/>
    <col min="7725" max="7725" width="54" style="32" customWidth="1"/>
    <col min="7726" max="7726" width="43.5546875" style="32" customWidth="1"/>
    <col min="7727" max="7727" width="44.5546875" style="32" customWidth="1"/>
    <col min="7728" max="7937" width="6.5546875" style="32"/>
    <col min="7938" max="7939" width="2.44140625" style="32" customWidth="1"/>
    <col min="7940" max="7940" width="11.5546875" style="32" hidden="1" customWidth="1"/>
    <col min="7941" max="7943" width="12.44140625" style="32" customWidth="1"/>
    <col min="7944" max="7944" width="12" style="32" customWidth="1"/>
    <col min="7945" max="7945" width="12.44140625" style="32" customWidth="1"/>
    <col min="7946" max="7946" width="13.44140625" style="32" customWidth="1"/>
    <col min="7947" max="7947" width="11.5546875" style="32" hidden="1" customWidth="1"/>
    <col min="7948" max="7950" width="13" style="32" customWidth="1"/>
    <col min="7951" max="7951" width="14.5546875" style="32" customWidth="1"/>
    <col min="7952" max="7953" width="13.44140625" style="32" customWidth="1"/>
    <col min="7954" max="7954" width="2.44140625" style="32" customWidth="1"/>
    <col min="7955" max="7955" width="13.44140625" style="32" customWidth="1"/>
    <col min="7956" max="7956" width="10.5546875" style="32" customWidth="1"/>
    <col min="7957" max="7957" width="12" style="32" customWidth="1"/>
    <col min="7958" max="7958" width="11.44140625" style="32" customWidth="1"/>
    <col min="7959" max="7959" width="16" style="32" customWidth="1"/>
    <col min="7960" max="7961" width="10.5546875" style="32" customWidth="1"/>
    <col min="7962" max="7962" width="15.5546875" style="32" customWidth="1"/>
    <col min="7963" max="7963" width="11.44140625" style="32" customWidth="1"/>
    <col min="7964" max="7964" width="12" style="32" customWidth="1"/>
    <col min="7965" max="7965" width="11.44140625" style="32" customWidth="1"/>
    <col min="7966" max="7966" width="12" style="32" customWidth="1"/>
    <col min="7967" max="7967" width="11.44140625" style="32" customWidth="1"/>
    <col min="7968" max="7968" width="12.44140625" style="32" customWidth="1"/>
    <col min="7969" max="7969" width="10.5546875" style="32" customWidth="1"/>
    <col min="7970" max="7970" width="19" style="32" customWidth="1"/>
    <col min="7971" max="7971" width="13.44140625" style="32" customWidth="1"/>
    <col min="7972" max="7972" width="18" style="32" customWidth="1"/>
    <col min="7973" max="7973" width="42.44140625" style="32" customWidth="1"/>
    <col min="7974" max="7974" width="31" style="32" customWidth="1"/>
    <col min="7975" max="7975" width="35" style="32" customWidth="1"/>
    <col min="7976" max="7976" width="31" style="32" customWidth="1"/>
    <col min="7977" max="7977" width="35" style="32" customWidth="1"/>
    <col min="7978" max="7978" width="31" style="32" customWidth="1"/>
    <col min="7979" max="7979" width="37.44140625" style="32" customWidth="1"/>
    <col min="7980" max="7980" width="11.44140625" style="32" customWidth="1"/>
    <col min="7981" max="7981" width="54" style="32" customWidth="1"/>
    <col min="7982" max="7982" width="43.5546875" style="32" customWidth="1"/>
    <col min="7983" max="7983" width="44.5546875" style="32" customWidth="1"/>
    <col min="7984" max="8193" width="6.5546875" style="32"/>
    <col min="8194" max="8195" width="2.44140625" style="32" customWidth="1"/>
    <col min="8196" max="8196" width="11.5546875" style="32" hidden="1" customWidth="1"/>
    <col min="8197" max="8199" width="12.44140625" style="32" customWidth="1"/>
    <col min="8200" max="8200" width="12" style="32" customWidth="1"/>
    <col min="8201" max="8201" width="12.44140625" style="32" customWidth="1"/>
    <col min="8202" max="8202" width="13.44140625" style="32" customWidth="1"/>
    <col min="8203" max="8203" width="11.5546875" style="32" hidden="1" customWidth="1"/>
    <col min="8204" max="8206" width="13" style="32" customWidth="1"/>
    <col min="8207" max="8207" width="14.5546875" style="32" customWidth="1"/>
    <col min="8208" max="8209" width="13.44140625" style="32" customWidth="1"/>
    <col min="8210" max="8210" width="2.44140625" style="32" customWidth="1"/>
    <col min="8211" max="8211" width="13.44140625" style="32" customWidth="1"/>
    <col min="8212" max="8212" width="10.5546875" style="32" customWidth="1"/>
    <col min="8213" max="8213" width="12" style="32" customWidth="1"/>
    <col min="8214" max="8214" width="11.44140625" style="32" customWidth="1"/>
    <col min="8215" max="8215" width="16" style="32" customWidth="1"/>
    <col min="8216" max="8217" width="10.5546875" style="32" customWidth="1"/>
    <col min="8218" max="8218" width="15.5546875" style="32" customWidth="1"/>
    <col min="8219" max="8219" width="11.44140625" style="32" customWidth="1"/>
    <col min="8220" max="8220" width="12" style="32" customWidth="1"/>
    <col min="8221" max="8221" width="11.44140625" style="32" customWidth="1"/>
    <col min="8222" max="8222" width="12" style="32" customWidth="1"/>
    <col min="8223" max="8223" width="11.44140625" style="32" customWidth="1"/>
    <col min="8224" max="8224" width="12.44140625" style="32" customWidth="1"/>
    <col min="8225" max="8225" width="10.5546875" style="32" customWidth="1"/>
    <col min="8226" max="8226" width="19" style="32" customWidth="1"/>
    <col min="8227" max="8227" width="13.44140625" style="32" customWidth="1"/>
    <col min="8228" max="8228" width="18" style="32" customWidth="1"/>
    <col min="8229" max="8229" width="42.44140625" style="32" customWidth="1"/>
    <col min="8230" max="8230" width="31" style="32" customWidth="1"/>
    <col min="8231" max="8231" width="35" style="32" customWidth="1"/>
    <col min="8232" max="8232" width="31" style="32" customWidth="1"/>
    <col min="8233" max="8233" width="35" style="32" customWidth="1"/>
    <col min="8234" max="8234" width="31" style="32" customWidth="1"/>
    <col min="8235" max="8235" width="37.44140625" style="32" customWidth="1"/>
    <col min="8236" max="8236" width="11.44140625" style="32" customWidth="1"/>
    <col min="8237" max="8237" width="54" style="32" customWidth="1"/>
    <col min="8238" max="8238" width="43.5546875" style="32" customWidth="1"/>
    <col min="8239" max="8239" width="44.5546875" style="32" customWidth="1"/>
    <col min="8240" max="8449" width="6.5546875" style="32"/>
    <col min="8450" max="8451" width="2.44140625" style="32" customWidth="1"/>
    <col min="8452" max="8452" width="11.5546875" style="32" hidden="1" customWidth="1"/>
    <col min="8453" max="8455" width="12.44140625" style="32" customWidth="1"/>
    <col min="8456" max="8456" width="12" style="32" customWidth="1"/>
    <col min="8457" max="8457" width="12.44140625" style="32" customWidth="1"/>
    <col min="8458" max="8458" width="13.44140625" style="32" customWidth="1"/>
    <col min="8459" max="8459" width="11.5546875" style="32" hidden="1" customWidth="1"/>
    <col min="8460" max="8462" width="13" style="32" customWidth="1"/>
    <col min="8463" max="8463" width="14.5546875" style="32" customWidth="1"/>
    <col min="8464" max="8465" width="13.44140625" style="32" customWidth="1"/>
    <col min="8466" max="8466" width="2.44140625" style="32" customWidth="1"/>
    <col min="8467" max="8467" width="13.44140625" style="32" customWidth="1"/>
    <col min="8468" max="8468" width="10.5546875" style="32" customWidth="1"/>
    <col min="8469" max="8469" width="12" style="32" customWidth="1"/>
    <col min="8470" max="8470" width="11.44140625" style="32" customWidth="1"/>
    <col min="8471" max="8471" width="16" style="32" customWidth="1"/>
    <col min="8472" max="8473" width="10.5546875" style="32" customWidth="1"/>
    <col min="8474" max="8474" width="15.5546875" style="32" customWidth="1"/>
    <col min="8475" max="8475" width="11.44140625" style="32" customWidth="1"/>
    <col min="8476" max="8476" width="12" style="32" customWidth="1"/>
    <col min="8477" max="8477" width="11.44140625" style="32" customWidth="1"/>
    <col min="8478" max="8478" width="12" style="32" customWidth="1"/>
    <col min="8479" max="8479" width="11.44140625" style="32" customWidth="1"/>
    <col min="8480" max="8480" width="12.44140625" style="32" customWidth="1"/>
    <col min="8481" max="8481" width="10.5546875" style="32" customWidth="1"/>
    <col min="8482" max="8482" width="19" style="32" customWidth="1"/>
    <col min="8483" max="8483" width="13.44140625" style="32" customWidth="1"/>
    <col min="8484" max="8484" width="18" style="32" customWidth="1"/>
    <col min="8485" max="8485" width="42.44140625" style="32" customWidth="1"/>
    <col min="8486" max="8486" width="31" style="32" customWidth="1"/>
    <col min="8487" max="8487" width="35" style="32" customWidth="1"/>
    <col min="8488" max="8488" width="31" style="32" customWidth="1"/>
    <col min="8489" max="8489" width="35" style="32" customWidth="1"/>
    <col min="8490" max="8490" width="31" style="32" customWidth="1"/>
    <col min="8491" max="8491" width="37.44140625" style="32" customWidth="1"/>
    <col min="8492" max="8492" width="11.44140625" style="32" customWidth="1"/>
    <col min="8493" max="8493" width="54" style="32" customWidth="1"/>
    <col min="8494" max="8494" width="43.5546875" style="32" customWidth="1"/>
    <col min="8495" max="8495" width="44.5546875" style="32" customWidth="1"/>
    <col min="8496" max="8705" width="6.5546875" style="32"/>
    <col min="8706" max="8707" width="2.44140625" style="32" customWidth="1"/>
    <col min="8708" max="8708" width="11.5546875" style="32" hidden="1" customWidth="1"/>
    <col min="8709" max="8711" width="12.44140625" style="32" customWidth="1"/>
    <col min="8712" max="8712" width="12" style="32" customWidth="1"/>
    <col min="8713" max="8713" width="12.44140625" style="32" customWidth="1"/>
    <col min="8714" max="8714" width="13.44140625" style="32" customWidth="1"/>
    <col min="8715" max="8715" width="11.5546875" style="32" hidden="1" customWidth="1"/>
    <col min="8716" max="8718" width="13" style="32" customWidth="1"/>
    <col min="8719" max="8719" width="14.5546875" style="32" customWidth="1"/>
    <col min="8720" max="8721" width="13.44140625" style="32" customWidth="1"/>
    <col min="8722" max="8722" width="2.44140625" style="32" customWidth="1"/>
    <col min="8723" max="8723" width="13.44140625" style="32" customWidth="1"/>
    <col min="8724" max="8724" width="10.5546875" style="32" customWidth="1"/>
    <col min="8725" max="8725" width="12" style="32" customWidth="1"/>
    <col min="8726" max="8726" width="11.44140625" style="32" customWidth="1"/>
    <col min="8727" max="8727" width="16" style="32" customWidth="1"/>
    <col min="8728" max="8729" width="10.5546875" style="32" customWidth="1"/>
    <col min="8730" max="8730" width="15.5546875" style="32" customWidth="1"/>
    <col min="8731" max="8731" width="11.44140625" style="32" customWidth="1"/>
    <col min="8732" max="8732" width="12" style="32" customWidth="1"/>
    <col min="8733" max="8733" width="11.44140625" style="32" customWidth="1"/>
    <col min="8734" max="8734" width="12" style="32" customWidth="1"/>
    <col min="8735" max="8735" width="11.44140625" style="32" customWidth="1"/>
    <col min="8736" max="8736" width="12.44140625" style="32" customWidth="1"/>
    <col min="8737" max="8737" width="10.5546875" style="32" customWidth="1"/>
    <col min="8738" max="8738" width="19" style="32" customWidth="1"/>
    <col min="8739" max="8739" width="13.44140625" style="32" customWidth="1"/>
    <col min="8740" max="8740" width="18" style="32" customWidth="1"/>
    <col min="8741" max="8741" width="42.44140625" style="32" customWidth="1"/>
    <col min="8742" max="8742" width="31" style="32" customWidth="1"/>
    <col min="8743" max="8743" width="35" style="32" customWidth="1"/>
    <col min="8744" max="8744" width="31" style="32" customWidth="1"/>
    <col min="8745" max="8745" width="35" style="32" customWidth="1"/>
    <col min="8746" max="8746" width="31" style="32" customWidth="1"/>
    <col min="8747" max="8747" width="37.44140625" style="32" customWidth="1"/>
    <col min="8748" max="8748" width="11.44140625" style="32" customWidth="1"/>
    <col min="8749" max="8749" width="54" style="32" customWidth="1"/>
    <col min="8750" max="8750" width="43.5546875" style="32" customWidth="1"/>
    <col min="8751" max="8751" width="44.5546875" style="32" customWidth="1"/>
    <col min="8752" max="8961" width="6.5546875" style="32"/>
    <col min="8962" max="8963" width="2.44140625" style="32" customWidth="1"/>
    <col min="8964" max="8964" width="11.5546875" style="32" hidden="1" customWidth="1"/>
    <col min="8965" max="8967" width="12.44140625" style="32" customWidth="1"/>
    <col min="8968" max="8968" width="12" style="32" customWidth="1"/>
    <col min="8969" max="8969" width="12.44140625" style="32" customWidth="1"/>
    <col min="8970" max="8970" width="13.44140625" style="32" customWidth="1"/>
    <col min="8971" max="8971" width="11.5546875" style="32" hidden="1" customWidth="1"/>
    <col min="8972" max="8974" width="13" style="32" customWidth="1"/>
    <col min="8975" max="8975" width="14.5546875" style="32" customWidth="1"/>
    <col min="8976" max="8977" width="13.44140625" style="32" customWidth="1"/>
    <col min="8978" max="8978" width="2.44140625" style="32" customWidth="1"/>
    <col min="8979" max="8979" width="13.44140625" style="32" customWidth="1"/>
    <col min="8980" max="8980" width="10.5546875" style="32" customWidth="1"/>
    <col min="8981" max="8981" width="12" style="32" customWidth="1"/>
    <col min="8982" max="8982" width="11.44140625" style="32" customWidth="1"/>
    <col min="8983" max="8983" width="16" style="32" customWidth="1"/>
    <col min="8984" max="8985" width="10.5546875" style="32" customWidth="1"/>
    <col min="8986" max="8986" width="15.5546875" style="32" customWidth="1"/>
    <col min="8987" max="8987" width="11.44140625" style="32" customWidth="1"/>
    <col min="8988" max="8988" width="12" style="32" customWidth="1"/>
    <col min="8989" max="8989" width="11.44140625" style="32" customWidth="1"/>
    <col min="8990" max="8990" width="12" style="32" customWidth="1"/>
    <col min="8991" max="8991" width="11.44140625" style="32" customWidth="1"/>
    <col min="8992" max="8992" width="12.44140625" style="32" customWidth="1"/>
    <col min="8993" max="8993" width="10.5546875" style="32" customWidth="1"/>
    <col min="8994" max="8994" width="19" style="32" customWidth="1"/>
    <col min="8995" max="8995" width="13.44140625" style="32" customWidth="1"/>
    <col min="8996" max="8996" width="18" style="32" customWidth="1"/>
    <col min="8997" max="8997" width="42.44140625" style="32" customWidth="1"/>
    <col min="8998" max="8998" width="31" style="32" customWidth="1"/>
    <col min="8999" max="8999" width="35" style="32" customWidth="1"/>
    <col min="9000" max="9000" width="31" style="32" customWidth="1"/>
    <col min="9001" max="9001" width="35" style="32" customWidth="1"/>
    <col min="9002" max="9002" width="31" style="32" customWidth="1"/>
    <col min="9003" max="9003" width="37.44140625" style="32" customWidth="1"/>
    <col min="9004" max="9004" width="11.44140625" style="32" customWidth="1"/>
    <col min="9005" max="9005" width="54" style="32" customWidth="1"/>
    <col min="9006" max="9006" width="43.5546875" style="32" customWidth="1"/>
    <col min="9007" max="9007" width="44.5546875" style="32" customWidth="1"/>
    <col min="9008" max="9217" width="6.5546875" style="32"/>
    <col min="9218" max="9219" width="2.44140625" style="32" customWidth="1"/>
    <col min="9220" max="9220" width="11.5546875" style="32" hidden="1" customWidth="1"/>
    <col min="9221" max="9223" width="12.44140625" style="32" customWidth="1"/>
    <col min="9224" max="9224" width="12" style="32" customWidth="1"/>
    <col min="9225" max="9225" width="12.44140625" style="32" customWidth="1"/>
    <col min="9226" max="9226" width="13.44140625" style="32" customWidth="1"/>
    <col min="9227" max="9227" width="11.5546875" style="32" hidden="1" customWidth="1"/>
    <col min="9228" max="9230" width="13" style="32" customWidth="1"/>
    <col min="9231" max="9231" width="14.5546875" style="32" customWidth="1"/>
    <col min="9232" max="9233" width="13.44140625" style="32" customWidth="1"/>
    <col min="9234" max="9234" width="2.44140625" style="32" customWidth="1"/>
    <col min="9235" max="9235" width="13.44140625" style="32" customWidth="1"/>
    <col min="9236" max="9236" width="10.5546875" style="32" customWidth="1"/>
    <col min="9237" max="9237" width="12" style="32" customWidth="1"/>
    <col min="9238" max="9238" width="11.44140625" style="32" customWidth="1"/>
    <col min="9239" max="9239" width="16" style="32" customWidth="1"/>
    <col min="9240" max="9241" width="10.5546875" style="32" customWidth="1"/>
    <col min="9242" max="9242" width="15.5546875" style="32" customWidth="1"/>
    <col min="9243" max="9243" width="11.44140625" style="32" customWidth="1"/>
    <col min="9244" max="9244" width="12" style="32" customWidth="1"/>
    <col min="9245" max="9245" width="11.44140625" style="32" customWidth="1"/>
    <col min="9246" max="9246" width="12" style="32" customWidth="1"/>
    <col min="9247" max="9247" width="11.44140625" style="32" customWidth="1"/>
    <col min="9248" max="9248" width="12.44140625" style="32" customWidth="1"/>
    <col min="9249" max="9249" width="10.5546875" style="32" customWidth="1"/>
    <col min="9250" max="9250" width="19" style="32" customWidth="1"/>
    <col min="9251" max="9251" width="13.44140625" style="32" customWidth="1"/>
    <col min="9252" max="9252" width="18" style="32" customWidth="1"/>
    <col min="9253" max="9253" width="42.44140625" style="32" customWidth="1"/>
    <col min="9254" max="9254" width="31" style="32" customWidth="1"/>
    <col min="9255" max="9255" width="35" style="32" customWidth="1"/>
    <col min="9256" max="9256" width="31" style="32" customWidth="1"/>
    <col min="9257" max="9257" width="35" style="32" customWidth="1"/>
    <col min="9258" max="9258" width="31" style="32" customWidth="1"/>
    <col min="9259" max="9259" width="37.44140625" style="32" customWidth="1"/>
    <col min="9260" max="9260" width="11.44140625" style="32" customWidth="1"/>
    <col min="9261" max="9261" width="54" style="32" customWidth="1"/>
    <col min="9262" max="9262" width="43.5546875" style="32" customWidth="1"/>
    <col min="9263" max="9263" width="44.5546875" style="32" customWidth="1"/>
    <col min="9264" max="9473" width="6.5546875" style="32"/>
    <col min="9474" max="9475" width="2.44140625" style="32" customWidth="1"/>
    <col min="9476" max="9476" width="11.5546875" style="32" hidden="1" customWidth="1"/>
    <col min="9477" max="9479" width="12.44140625" style="32" customWidth="1"/>
    <col min="9480" max="9480" width="12" style="32" customWidth="1"/>
    <col min="9481" max="9481" width="12.44140625" style="32" customWidth="1"/>
    <col min="9482" max="9482" width="13.44140625" style="32" customWidth="1"/>
    <col min="9483" max="9483" width="11.5546875" style="32" hidden="1" customWidth="1"/>
    <col min="9484" max="9486" width="13" style="32" customWidth="1"/>
    <col min="9487" max="9487" width="14.5546875" style="32" customWidth="1"/>
    <col min="9488" max="9489" width="13.44140625" style="32" customWidth="1"/>
    <col min="9490" max="9490" width="2.44140625" style="32" customWidth="1"/>
    <col min="9491" max="9491" width="13.44140625" style="32" customWidth="1"/>
    <col min="9492" max="9492" width="10.5546875" style="32" customWidth="1"/>
    <col min="9493" max="9493" width="12" style="32" customWidth="1"/>
    <col min="9494" max="9494" width="11.44140625" style="32" customWidth="1"/>
    <col min="9495" max="9495" width="16" style="32" customWidth="1"/>
    <col min="9496" max="9497" width="10.5546875" style="32" customWidth="1"/>
    <col min="9498" max="9498" width="15.5546875" style="32" customWidth="1"/>
    <col min="9499" max="9499" width="11.44140625" style="32" customWidth="1"/>
    <col min="9500" max="9500" width="12" style="32" customWidth="1"/>
    <col min="9501" max="9501" width="11.44140625" style="32" customWidth="1"/>
    <col min="9502" max="9502" width="12" style="32" customWidth="1"/>
    <col min="9503" max="9503" width="11.44140625" style="32" customWidth="1"/>
    <col min="9504" max="9504" width="12.44140625" style="32" customWidth="1"/>
    <col min="9505" max="9505" width="10.5546875" style="32" customWidth="1"/>
    <col min="9506" max="9506" width="19" style="32" customWidth="1"/>
    <col min="9507" max="9507" width="13.44140625" style="32" customWidth="1"/>
    <col min="9508" max="9508" width="18" style="32" customWidth="1"/>
    <col min="9509" max="9509" width="42.44140625" style="32" customWidth="1"/>
    <col min="9510" max="9510" width="31" style="32" customWidth="1"/>
    <col min="9511" max="9511" width="35" style="32" customWidth="1"/>
    <col min="9512" max="9512" width="31" style="32" customWidth="1"/>
    <col min="9513" max="9513" width="35" style="32" customWidth="1"/>
    <col min="9514" max="9514" width="31" style="32" customWidth="1"/>
    <col min="9515" max="9515" width="37.44140625" style="32" customWidth="1"/>
    <col min="9516" max="9516" width="11.44140625" style="32" customWidth="1"/>
    <col min="9517" max="9517" width="54" style="32" customWidth="1"/>
    <col min="9518" max="9518" width="43.5546875" style="32" customWidth="1"/>
    <col min="9519" max="9519" width="44.5546875" style="32" customWidth="1"/>
    <col min="9520" max="9729" width="6.5546875" style="32"/>
    <col min="9730" max="9731" width="2.44140625" style="32" customWidth="1"/>
    <col min="9732" max="9732" width="11.5546875" style="32" hidden="1" customWidth="1"/>
    <col min="9733" max="9735" width="12.44140625" style="32" customWidth="1"/>
    <col min="9736" max="9736" width="12" style="32" customWidth="1"/>
    <col min="9737" max="9737" width="12.44140625" style="32" customWidth="1"/>
    <col min="9738" max="9738" width="13.44140625" style="32" customWidth="1"/>
    <col min="9739" max="9739" width="11.5546875" style="32" hidden="1" customWidth="1"/>
    <col min="9740" max="9742" width="13" style="32" customWidth="1"/>
    <col min="9743" max="9743" width="14.5546875" style="32" customWidth="1"/>
    <col min="9744" max="9745" width="13.44140625" style="32" customWidth="1"/>
    <col min="9746" max="9746" width="2.44140625" style="32" customWidth="1"/>
    <col min="9747" max="9747" width="13.44140625" style="32" customWidth="1"/>
    <col min="9748" max="9748" width="10.5546875" style="32" customWidth="1"/>
    <col min="9749" max="9749" width="12" style="32" customWidth="1"/>
    <col min="9750" max="9750" width="11.44140625" style="32" customWidth="1"/>
    <col min="9751" max="9751" width="16" style="32" customWidth="1"/>
    <col min="9752" max="9753" width="10.5546875" style="32" customWidth="1"/>
    <col min="9754" max="9754" width="15.5546875" style="32" customWidth="1"/>
    <col min="9755" max="9755" width="11.44140625" style="32" customWidth="1"/>
    <col min="9756" max="9756" width="12" style="32" customWidth="1"/>
    <col min="9757" max="9757" width="11.44140625" style="32" customWidth="1"/>
    <col min="9758" max="9758" width="12" style="32" customWidth="1"/>
    <col min="9759" max="9759" width="11.44140625" style="32" customWidth="1"/>
    <col min="9760" max="9760" width="12.44140625" style="32" customWidth="1"/>
    <col min="9761" max="9761" width="10.5546875" style="32" customWidth="1"/>
    <col min="9762" max="9762" width="19" style="32" customWidth="1"/>
    <col min="9763" max="9763" width="13.44140625" style="32" customWidth="1"/>
    <col min="9764" max="9764" width="18" style="32" customWidth="1"/>
    <col min="9765" max="9765" width="42.44140625" style="32" customWidth="1"/>
    <col min="9766" max="9766" width="31" style="32" customWidth="1"/>
    <col min="9767" max="9767" width="35" style="32" customWidth="1"/>
    <col min="9768" max="9768" width="31" style="32" customWidth="1"/>
    <col min="9769" max="9769" width="35" style="32" customWidth="1"/>
    <col min="9770" max="9770" width="31" style="32" customWidth="1"/>
    <col min="9771" max="9771" width="37.44140625" style="32" customWidth="1"/>
    <col min="9772" max="9772" width="11.44140625" style="32" customWidth="1"/>
    <col min="9773" max="9773" width="54" style="32" customWidth="1"/>
    <col min="9774" max="9774" width="43.5546875" style="32" customWidth="1"/>
    <col min="9775" max="9775" width="44.5546875" style="32" customWidth="1"/>
    <col min="9776" max="9985" width="6.5546875" style="32"/>
    <col min="9986" max="9987" width="2.44140625" style="32" customWidth="1"/>
    <col min="9988" max="9988" width="11.5546875" style="32" hidden="1" customWidth="1"/>
    <col min="9989" max="9991" width="12.44140625" style="32" customWidth="1"/>
    <col min="9992" max="9992" width="12" style="32" customWidth="1"/>
    <col min="9993" max="9993" width="12.44140625" style="32" customWidth="1"/>
    <col min="9994" max="9994" width="13.44140625" style="32" customWidth="1"/>
    <col min="9995" max="9995" width="11.5546875" style="32" hidden="1" customWidth="1"/>
    <col min="9996" max="9998" width="13" style="32" customWidth="1"/>
    <col min="9999" max="9999" width="14.5546875" style="32" customWidth="1"/>
    <col min="10000" max="10001" width="13.44140625" style="32" customWidth="1"/>
    <col min="10002" max="10002" width="2.44140625" style="32" customWidth="1"/>
    <col min="10003" max="10003" width="13.44140625" style="32" customWidth="1"/>
    <col min="10004" max="10004" width="10.5546875" style="32" customWidth="1"/>
    <col min="10005" max="10005" width="12" style="32" customWidth="1"/>
    <col min="10006" max="10006" width="11.44140625" style="32" customWidth="1"/>
    <col min="10007" max="10007" width="16" style="32" customWidth="1"/>
    <col min="10008" max="10009" width="10.5546875" style="32" customWidth="1"/>
    <col min="10010" max="10010" width="15.5546875" style="32" customWidth="1"/>
    <col min="10011" max="10011" width="11.44140625" style="32" customWidth="1"/>
    <col min="10012" max="10012" width="12" style="32" customWidth="1"/>
    <col min="10013" max="10013" width="11.44140625" style="32" customWidth="1"/>
    <col min="10014" max="10014" width="12" style="32" customWidth="1"/>
    <col min="10015" max="10015" width="11.44140625" style="32" customWidth="1"/>
    <col min="10016" max="10016" width="12.44140625" style="32" customWidth="1"/>
    <col min="10017" max="10017" width="10.5546875" style="32" customWidth="1"/>
    <col min="10018" max="10018" width="19" style="32" customWidth="1"/>
    <col min="10019" max="10019" width="13.44140625" style="32" customWidth="1"/>
    <col min="10020" max="10020" width="18" style="32" customWidth="1"/>
    <col min="10021" max="10021" width="42.44140625" style="32" customWidth="1"/>
    <col min="10022" max="10022" width="31" style="32" customWidth="1"/>
    <col min="10023" max="10023" width="35" style="32" customWidth="1"/>
    <col min="10024" max="10024" width="31" style="32" customWidth="1"/>
    <col min="10025" max="10025" width="35" style="32" customWidth="1"/>
    <col min="10026" max="10026" width="31" style="32" customWidth="1"/>
    <col min="10027" max="10027" width="37.44140625" style="32" customWidth="1"/>
    <col min="10028" max="10028" width="11.44140625" style="32" customWidth="1"/>
    <col min="10029" max="10029" width="54" style="32" customWidth="1"/>
    <col min="10030" max="10030" width="43.5546875" style="32" customWidth="1"/>
    <col min="10031" max="10031" width="44.5546875" style="32" customWidth="1"/>
    <col min="10032" max="10241" width="6.5546875" style="32"/>
    <col min="10242" max="10243" width="2.44140625" style="32" customWidth="1"/>
    <col min="10244" max="10244" width="11.5546875" style="32" hidden="1" customWidth="1"/>
    <col min="10245" max="10247" width="12.44140625" style="32" customWidth="1"/>
    <col min="10248" max="10248" width="12" style="32" customWidth="1"/>
    <col min="10249" max="10249" width="12.44140625" style="32" customWidth="1"/>
    <col min="10250" max="10250" width="13.44140625" style="32" customWidth="1"/>
    <col min="10251" max="10251" width="11.5546875" style="32" hidden="1" customWidth="1"/>
    <col min="10252" max="10254" width="13" style="32" customWidth="1"/>
    <col min="10255" max="10255" width="14.5546875" style="32" customWidth="1"/>
    <col min="10256" max="10257" width="13.44140625" style="32" customWidth="1"/>
    <col min="10258" max="10258" width="2.44140625" style="32" customWidth="1"/>
    <col min="10259" max="10259" width="13.44140625" style="32" customWidth="1"/>
    <col min="10260" max="10260" width="10.5546875" style="32" customWidth="1"/>
    <col min="10261" max="10261" width="12" style="32" customWidth="1"/>
    <col min="10262" max="10262" width="11.44140625" style="32" customWidth="1"/>
    <col min="10263" max="10263" width="16" style="32" customWidth="1"/>
    <col min="10264" max="10265" width="10.5546875" style="32" customWidth="1"/>
    <col min="10266" max="10266" width="15.5546875" style="32" customWidth="1"/>
    <col min="10267" max="10267" width="11.44140625" style="32" customWidth="1"/>
    <col min="10268" max="10268" width="12" style="32" customWidth="1"/>
    <col min="10269" max="10269" width="11.44140625" style="32" customWidth="1"/>
    <col min="10270" max="10270" width="12" style="32" customWidth="1"/>
    <col min="10271" max="10271" width="11.44140625" style="32" customWidth="1"/>
    <col min="10272" max="10272" width="12.44140625" style="32" customWidth="1"/>
    <col min="10273" max="10273" width="10.5546875" style="32" customWidth="1"/>
    <col min="10274" max="10274" width="19" style="32" customWidth="1"/>
    <col min="10275" max="10275" width="13.44140625" style="32" customWidth="1"/>
    <col min="10276" max="10276" width="18" style="32" customWidth="1"/>
    <col min="10277" max="10277" width="42.44140625" style="32" customWidth="1"/>
    <col min="10278" max="10278" width="31" style="32" customWidth="1"/>
    <col min="10279" max="10279" width="35" style="32" customWidth="1"/>
    <col min="10280" max="10280" width="31" style="32" customWidth="1"/>
    <col min="10281" max="10281" width="35" style="32" customWidth="1"/>
    <col min="10282" max="10282" width="31" style="32" customWidth="1"/>
    <col min="10283" max="10283" width="37.44140625" style="32" customWidth="1"/>
    <col min="10284" max="10284" width="11.44140625" style="32" customWidth="1"/>
    <col min="10285" max="10285" width="54" style="32" customWidth="1"/>
    <col min="10286" max="10286" width="43.5546875" style="32" customWidth="1"/>
    <col min="10287" max="10287" width="44.5546875" style="32" customWidth="1"/>
    <col min="10288" max="10497" width="6.5546875" style="32"/>
    <col min="10498" max="10499" width="2.44140625" style="32" customWidth="1"/>
    <col min="10500" max="10500" width="11.5546875" style="32" hidden="1" customWidth="1"/>
    <col min="10501" max="10503" width="12.44140625" style="32" customWidth="1"/>
    <col min="10504" max="10504" width="12" style="32" customWidth="1"/>
    <col min="10505" max="10505" width="12.44140625" style="32" customWidth="1"/>
    <col min="10506" max="10506" width="13.44140625" style="32" customWidth="1"/>
    <col min="10507" max="10507" width="11.5546875" style="32" hidden="1" customWidth="1"/>
    <col min="10508" max="10510" width="13" style="32" customWidth="1"/>
    <col min="10511" max="10511" width="14.5546875" style="32" customWidth="1"/>
    <col min="10512" max="10513" width="13.44140625" style="32" customWidth="1"/>
    <col min="10514" max="10514" width="2.44140625" style="32" customWidth="1"/>
    <col min="10515" max="10515" width="13.44140625" style="32" customWidth="1"/>
    <col min="10516" max="10516" width="10.5546875" style="32" customWidth="1"/>
    <col min="10517" max="10517" width="12" style="32" customWidth="1"/>
    <col min="10518" max="10518" width="11.44140625" style="32" customWidth="1"/>
    <col min="10519" max="10519" width="16" style="32" customWidth="1"/>
    <col min="10520" max="10521" width="10.5546875" style="32" customWidth="1"/>
    <col min="10522" max="10522" width="15.5546875" style="32" customWidth="1"/>
    <col min="10523" max="10523" width="11.44140625" style="32" customWidth="1"/>
    <col min="10524" max="10524" width="12" style="32" customWidth="1"/>
    <col min="10525" max="10525" width="11.44140625" style="32" customWidth="1"/>
    <col min="10526" max="10526" width="12" style="32" customWidth="1"/>
    <col min="10527" max="10527" width="11.44140625" style="32" customWidth="1"/>
    <col min="10528" max="10528" width="12.44140625" style="32" customWidth="1"/>
    <col min="10529" max="10529" width="10.5546875" style="32" customWidth="1"/>
    <col min="10530" max="10530" width="19" style="32" customWidth="1"/>
    <col min="10531" max="10531" width="13.44140625" style="32" customWidth="1"/>
    <col min="10532" max="10532" width="18" style="32" customWidth="1"/>
    <col min="10533" max="10533" width="42.44140625" style="32" customWidth="1"/>
    <col min="10534" max="10534" width="31" style="32" customWidth="1"/>
    <col min="10535" max="10535" width="35" style="32" customWidth="1"/>
    <col min="10536" max="10536" width="31" style="32" customWidth="1"/>
    <col min="10537" max="10537" width="35" style="32" customWidth="1"/>
    <col min="10538" max="10538" width="31" style="32" customWidth="1"/>
    <col min="10539" max="10539" width="37.44140625" style="32" customWidth="1"/>
    <col min="10540" max="10540" width="11.44140625" style="32" customWidth="1"/>
    <col min="10541" max="10541" width="54" style="32" customWidth="1"/>
    <col min="10542" max="10542" width="43.5546875" style="32" customWidth="1"/>
    <col min="10543" max="10543" width="44.5546875" style="32" customWidth="1"/>
    <col min="10544" max="10753" width="6.5546875" style="32"/>
    <col min="10754" max="10755" width="2.44140625" style="32" customWidth="1"/>
    <col min="10756" max="10756" width="11.5546875" style="32" hidden="1" customWidth="1"/>
    <col min="10757" max="10759" width="12.44140625" style="32" customWidth="1"/>
    <col min="10760" max="10760" width="12" style="32" customWidth="1"/>
    <col min="10761" max="10761" width="12.44140625" style="32" customWidth="1"/>
    <col min="10762" max="10762" width="13.44140625" style="32" customWidth="1"/>
    <col min="10763" max="10763" width="11.5546875" style="32" hidden="1" customWidth="1"/>
    <col min="10764" max="10766" width="13" style="32" customWidth="1"/>
    <col min="10767" max="10767" width="14.5546875" style="32" customWidth="1"/>
    <col min="10768" max="10769" width="13.44140625" style="32" customWidth="1"/>
    <col min="10770" max="10770" width="2.44140625" style="32" customWidth="1"/>
    <col min="10771" max="10771" width="13.44140625" style="32" customWidth="1"/>
    <col min="10772" max="10772" width="10.5546875" style="32" customWidth="1"/>
    <col min="10773" max="10773" width="12" style="32" customWidth="1"/>
    <col min="10774" max="10774" width="11.44140625" style="32" customWidth="1"/>
    <col min="10775" max="10775" width="16" style="32" customWidth="1"/>
    <col min="10776" max="10777" width="10.5546875" style="32" customWidth="1"/>
    <col min="10778" max="10778" width="15.5546875" style="32" customWidth="1"/>
    <col min="10779" max="10779" width="11.44140625" style="32" customWidth="1"/>
    <col min="10780" max="10780" width="12" style="32" customWidth="1"/>
    <col min="10781" max="10781" width="11.44140625" style="32" customWidth="1"/>
    <col min="10782" max="10782" width="12" style="32" customWidth="1"/>
    <col min="10783" max="10783" width="11.44140625" style="32" customWidth="1"/>
    <col min="10784" max="10784" width="12.44140625" style="32" customWidth="1"/>
    <col min="10785" max="10785" width="10.5546875" style="32" customWidth="1"/>
    <col min="10786" max="10786" width="19" style="32" customWidth="1"/>
    <col min="10787" max="10787" width="13.44140625" style="32" customWidth="1"/>
    <col min="10788" max="10788" width="18" style="32" customWidth="1"/>
    <col min="10789" max="10789" width="42.44140625" style="32" customWidth="1"/>
    <col min="10790" max="10790" width="31" style="32" customWidth="1"/>
    <col min="10791" max="10791" width="35" style="32" customWidth="1"/>
    <col min="10792" max="10792" width="31" style="32" customWidth="1"/>
    <col min="10793" max="10793" width="35" style="32" customWidth="1"/>
    <col min="10794" max="10794" width="31" style="32" customWidth="1"/>
    <col min="10795" max="10795" width="37.44140625" style="32" customWidth="1"/>
    <col min="10796" max="10796" width="11.44140625" style="32" customWidth="1"/>
    <col min="10797" max="10797" width="54" style="32" customWidth="1"/>
    <col min="10798" max="10798" width="43.5546875" style="32" customWidth="1"/>
    <col min="10799" max="10799" width="44.5546875" style="32" customWidth="1"/>
    <col min="10800" max="11009" width="6.5546875" style="32"/>
    <col min="11010" max="11011" width="2.44140625" style="32" customWidth="1"/>
    <col min="11012" max="11012" width="11.5546875" style="32" hidden="1" customWidth="1"/>
    <col min="11013" max="11015" width="12.44140625" style="32" customWidth="1"/>
    <col min="11016" max="11016" width="12" style="32" customWidth="1"/>
    <col min="11017" max="11017" width="12.44140625" style="32" customWidth="1"/>
    <col min="11018" max="11018" width="13.44140625" style="32" customWidth="1"/>
    <col min="11019" max="11019" width="11.5546875" style="32" hidden="1" customWidth="1"/>
    <col min="11020" max="11022" width="13" style="32" customWidth="1"/>
    <col min="11023" max="11023" width="14.5546875" style="32" customWidth="1"/>
    <col min="11024" max="11025" width="13.44140625" style="32" customWidth="1"/>
    <col min="11026" max="11026" width="2.44140625" style="32" customWidth="1"/>
    <col min="11027" max="11027" width="13.44140625" style="32" customWidth="1"/>
    <col min="11028" max="11028" width="10.5546875" style="32" customWidth="1"/>
    <col min="11029" max="11029" width="12" style="32" customWidth="1"/>
    <col min="11030" max="11030" width="11.44140625" style="32" customWidth="1"/>
    <col min="11031" max="11031" width="16" style="32" customWidth="1"/>
    <col min="11032" max="11033" width="10.5546875" style="32" customWidth="1"/>
    <col min="11034" max="11034" width="15.5546875" style="32" customWidth="1"/>
    <col min="11035" max="11035" width="11.44140625" style="32" customWidth="1"/>
    <col min="11036" max="11036" width="12" style="32" customWidth="1"/>
    <col min="11037" max="11037" width="11.44140625" style="32" customWidth="1"/>
    <col min="11038" max="11038" width="12" style="32" customWidth="1"/>
    <col min="11039" max="11039" width="11.44140625" style="32" customWidth="1"/>
    <col min="11040" max="11040" width="12.44140625" style="32" customWidth="1"/>
    <col min="11041" max="11041" width="10.5546875" style="32" customWidth="1"/>
    <col min="11042" max="11042" width="19" style="32" customWidth="1"/>
    <col min="11043" max="11043" width="13.44140625" style="32" customWidth="1"/>
    <col min="11044" max="11044" width="18" style="32" customWidth="1"/>
    <col min="11045" max="11045" width="42.44140625" style="32" customWidth="1"/>
    <col min="11046" max="11046" width="31" style="32" customWidth="1"/>
    <col min="11047" max="11047" width="35" style="32" customWidth="1"/>
    <col min="11048" max="11048" width="31" style="32" customWidth="1"/>
    <col min="11049" max="11049" width="35" style="32" customWidth="1"/>
    <col min="11050" max="11050" width="31" style="32" customWidth="1"/>
    <col min="11051" max="11051" width="37.44140625" style="32" customWidth="1"/>
    <col min="11052" max="11052" width="11.44140625" style="32" customWidth="1"/>
    <col min="11053" max="11053" width="54" style="32" customWidth="1"/>
    <col min="11054" max="11054" width="43.5546875" style="32" customWidth="1"/>
    <col min="11055" max="11055" width="44.5546875" style="32" customWidth="1"/>
    <col min="11056" max="11265" width="6.5546875" style="32"/>
    <col min="11266" max="11267" width="2.44140625" style="32" customWidth="1"/>
    <col min="11268" max="11268" width="11.5546875" style="32" hidden="1" customWidth="1"/>
    <col min="11269" max="11271" width="12.44140625" style="32" customWidth="1"/>
    <col min="11272" max="11272" width="12" style="32" customWidth="1"/>
    <col min="11273" max="11273" width="12.44140625" style="32" customWidth="1"/>
    <col min="11274" max="11274" width="13.44140625" style="32" customWidth="1"/>
    <col min="11275" max="11275" width="11.5546875" style="32" hidden="1" customWidth="1"/>
    <col min="11276" max="11278" width="13" style="32" customWidth="1"/>
    <col min="11279" max="11279" width="14.5546875" style="32" customWidth="1"/>
    <col min="11280" max="11281" width="13.44140625" style="32" customWidth="1"/>
    <col min="11282" max="11282" width="2.44140625" style="32" customWidth="1"/>
    <col min="11283" max="11283" width="13.44140625" style="32" customWidth="1"/>
    <col min="11284" max="11284" width="10.5546875" style="32" customWidth="1"/>
    <col min="11285" max="11285" width="12" style="32" customWidth="1"/>
    <col min="11286" max="11286" width="11.44140625" style="32" customWidth="1"/>
    <col min="11287" max="11287" width="16" style="32" customWidth="1"/>
    <col min="11288" max="11289" width="10.5546875" style="32" customWidth="1"/>
    <col min="11290" max="11290" width="15.5546875" style="32" customWidth="1"/>
    <col min="11291" max="11291" width="11.44140625" style="32" customWidth="1"/>
    <col min="11292" max="11292" width="12" style="32" customWidth="1"/>
    <col min="11293" max="11293" width="11.44140625" style="32" customWidth="1"/>
    <col min="11294" max="11294" width="12" style="32" customWidth="1"/>
    <col min="11295" max="11295" width="11.44140625" style="32" customWidth="1"/>
    <col min="11296" max="11296" width="12.44140625" style="32" customWidth="1"/>
    <col min="11297" max="11297" width="10.5546875" style="32" customWidth="1"/>
    <col min="11298" max="11298" width="19" style="32" customWidth="1"/>
    <col min="11299" max="11299" width="13.44140625" style="32" customWidth="1"/>
    <col min="11300" max="11300" width="18" style="32" customWidth="1"/>
    <col min="11301" max="11301" width="42.44140625" style="32" customWidth="1"/>
    <col min="11302" max="11302" width="31" style="32" customWidth="1"/>
    <col min="11303" max="11303" width="35" style="32" customWidth="1"/>
    <col min="11304" max="11304" width="31" style="32" customWidth="1"/>
    <col min="11305" max="11305" width="35" style="32" customWidth="1"/>
    <col min="11306" max="11306" width="31" style="32" customWidth="1"/>
    <col min="11307" max="11307" width="37.44140625" style="32" customWidth="1"/>
    <col min="11308" max="11308" width="11.44140625" style="32" customWidth="1"/>
    <col min="11309" max="11309" width="54" style="32" customWidth="1"/>
    <col min="11310" max="11310" width="43.5546875" style="32" customWidth="1"/>
    <col min="11311" max="11311" width="44.5546875" style="32" customWidth="1"/>
    <col min="11312" max="11521" width="6.5546875" style="32"/>
    <col min="11522" max="11523" width="2.44140625" style="32" customWidth="1"/>
    <col min="11524" max="11524" width="11.5546875" style="32" hidden="1" customWidth="1"/>
    <col min="11525" max="11527" width="12.44140625" style="32" customWidth="1"/>
    <col min="11528" max="11528" width="12" style="32" customWidth="1"/>
    <col min="11529" max="11529" width="12.44140625" style="32" customWidth="1"/>
    <col min="11530" max="11530" width="13.44140625" style="32" customWidth="1"/>
    <col min="11531" max="11531" width="11.5546875" style="32" hidden="1" customWidth="1"/>
    <col min="11532" max="11534" width="13" style="32" customWidth="1"/>
    <col min="11535" max="11535" width="14.5546875" style="32" customWidth="1"/>
    <col min="11536" max="11537" width="13.44140625" style="32" customWidth="1"/>
    <col min="11538" max="11538" width="2.44140625" style="32" customWidth="1"/>
    <col min="11539" max="11539" width="13.44140625" style="32" customWidth="1"/>
    <col min="11540" max="11540" width="10.5546875" style="32" customWidth="1"/>
    <col min="11541" max="11541" width="12" style="32" customWidth="1"/>
    <col min="11542" max="11542" width="11.44140625" style="32" customWidth="1"/>
    <col min="11543" max="11543" width="16" style="32" customWidth="1"/>
    <col min="11544" max="11545" width="10.5546875" style="32" customWidth="1"/>
    <col min="11546" max="11546" width="15.5546875" style="32" customWidth="1"/>
    <col min="11547" max="11547" width="11.44140625" style="32" customWidth="1"/>
    <col min="11548" max="11548" width="12" style="32" customWidth="1"/>
    <col min="11549" max="11549" width="11.44140625" style="32" customWidth="1"/>
    <col min="11550" max="11550" width="12" style="32" customWidth="1"/>
    <col min="11551" max="11551" width="11.44140625" style="32" customWidth="1"/>
    <col min="11552" max="11552" width="12.44140625" style="32" customWidth="1"/>
    <col min="11553" max="11553" width="10.5546875" style="32" customWidth="1"/>
    <col min="11554" max="11554" width="19" style="32" customWidth="1"/>
    <col min="11555" max="11555" width="13.44140625" style="32" customWidth="1"/>
    <col min="11556" max="11556" width="18" style="32" customWidth="1"/>
    <col min="11557" max="11557" width="42.44140625" style="32" customWidth="1"/>
    <col min="11558" max="11558" width="31" style="32" customWidth="1"/>
    <col min="11559" max="11559" width="35" style="32" customWidth="1"/>
    <col min="11560" max="11560" width="31" style="32" customWidth="1"/>
    <col min="11561" max="11561" width="35" style="32" customWidth="1"/>
    <col min="11562" max="11562" width="31" style="32" customWidth="1"/>
    <col min="11563" max="11563" width="37.44140625" style="32" customWidth="1"/>
    <col min="11564" max="11564" width="11.44140625" style="32" customWidth="1"/>
    <col min="11565" max="11565" width="54" style="32" customWidth="1"/>
    <col min="11566" max="11566" width="43.5546875" style="32" customWidth="1"/>
    <col min="11567" max="11567" width="44.5546875" style="32" customWidth="1"/>
    <col min="11568" max="11777" width="6.5546875" style="32"/>
    <col min="11778" max="11779" width="2.44140625" style="32" customWidth="1"/>
    <col min="11780" max="11780" width="11.5546875" style="32" hidden="1" customWidth="1"/>
    <col min="11781" max="11783" width="12.44140625" style="32" customWidth="1"/>
    <col min="11784" max="11784" width="12" style="32" customWidth="1"/>
    <col min="11785" max="11785" width="12.44140625" style="32" customWidth="1"/>
    <col min="11786" max="11786" width="13.44140625" style="32" customWidth="1"/>
    <col min="11787" max="11787" width="11.5546875" style="32" hidden="1" customWidth="1"/>
    <col min="11788" max="11790" width="13" style="32" customWidth="1"/>
    <col min="11791" max="11791" width="14.5546875" style="32" customWidth="1"/>
    <col min="11792" max="11793" width="13.44140625" style="32" customWidth="1"/>
    <col min="11794" max="11794" width="2.44140625" style="32" customWidth="1"/>
    <col min="11795" max="11795" width="13.44140625" style="32" customWidth="1"/>
    <col min="11796" max="11796" width="10.5546875" style="32" customWidth="1"/>
    <col min="11797" max="11797" width="12" style="32" customWidth="1"/>
    <col min="11798" max="11798" width="11.44140625" style="32" customWidth="1"/>
    <col min="11799" max="11799" width="16" style="32" customWidth="1"/>
    <col min="11800" max="11801" width="10.5546875" style="32" customWidth="1"/>
    <col min="11802" max="11802" width="15.5546875" style="32" customWidth="1"/>
    <col min="11803" max="11803" width="11.44140625" style="32" customWidth="1"/>
    <col min="11804" max="11804" width="12" style="32" customWidth="1"/>
    <col min="11805" max="11805" width="11.44140625" style="32" customWidth="1"/>
    <col min="11806" max="11806" width="12" style="32" customWidth="1"/>
    <col min="11807" max="11807" width="11.44140625" style="32" customWidth="1"/>
    <col min="11808" max="11808" width="12.44140625" style="32" customWidth="1"/>
    <col min="11809" max="11809" width="10.5546875" style="32" customWidth="1"/>
    <col min="11810" max="11810" width="19" style="32" customWidth="1"/>
    <col min="11811" max="11811" width="13.44140625" style="32" customWidth="1"/>
    <col min="11812" max="11812" width="18" style="32" customWidth="1"/>
    <col min="11813" max="11813" width="42.44140625" style="32" customWidth="1"/>
    <col min="11814" max="11814" width="31" style="32" customWidth="1"/>
    <col min="11815" max="11815" width="35" style="32" customWidth="1"/>
    <col min="11816" max="11816" width="31" style="32" customWidth="1"/>
    <col min="11817" max="11817" width="35" style="32" customWidth="1"/>
    <col min="11818" max="11818" width="31" style="32" customWidth="1"/>
    <col min="11819" max="11819" width="37.44140625" style="32" customWidth="1"/>
    <col min="11820" max="11820" width="11.44140625" style="32" customWidth="1"/>
    <col min="11821" max="11821" width="54" style="32" customWidth="1"/>
    <col min="11822" max="11822" width="43.5546875" style="32" customWidth="1"/>
    <col min="11823" max="11823" width="44.5546875" style="32" customWidth="1"/>
    <col min="11824" max="12033" width="6.5546875" style="32"/>
    <col min="12034" max="12035" width="2.44140625" style="32" customWidth="1"/>
    <col min="12036" max="12036" width="11.5546875" style="32" hidden="1" customWidth="1"/>
    <col min="12037" max="12039" width="12.44140625" style="32" customWidth="1"/>
    <col min="12040" max="12040" width="12" style="32" customWidth="1"/>
    <col min="12041" max="12041" width="12.44140625" style="32" customWidth="1"/>
    <col min="12042" max="12042" width="13.44140625" style="32" customWidth="1"/>
    <col min="12043" max="12043" width="11.5546875" style="32" hidden="1" customWidth="1"/>
    <col min="12044" max="12046" width="13" style="32" customWidth="1"/>
    <col min="12047" max="12047" width="14.5546875" style="32" customWidth="1"/>
    <col min="12048" max="12049" width="13.44140625" style="32" customWidth="1"/>
    <col min="12050" max="12050" width="2.44140625" style="32" customWidth="1"/>
    <col min="12051" max="12051" width="13.44140625" style="32" customWidth="1"/>
    <col min="12052" max="12052" width="10.5546875" style="32" customWidth="1"/>
    <col min="12053" max="12053" width="12" style="32" customWidth="1"/>
    <col min="12054" max="12054" width="11.44140625" style="32" customWidth="1"/>
    <col min="12055" max="12055" width="16" style="32" customWidth="1"/>
    <col min="12056" max="12057" width="10.5546875" style="32" customWidth="1"/>
    <col min="12058" max="12058" width="15.5546875" style="32" customWidth="1"/>
    <col min="12059" max="12059" width="11.44140625" style="32" customWidth="1"/>
    <col min="12060" max="12060" width="12" style="32" customWidth="1"/>
    <col min="12061" max="12061" width="11.44140625" style="32" customWidth="1"/>
    <col min="12062" max="12062" width="12" style="32" customWidth="1"/>
    <col min="12063" max="12063" width="11.44140625" style="32" customWidth="1"/>
    <col min="12064" max="12064" width="12.44140625" style="32" customWidth="1"/>
    <col min="12065" max="12065" width="10.5546875" style="32" customWidth="1"/>
    <col min="12066" max="12066" width="19" style="32" customWidth="1"/>
    <col min="12067" max="12067" width="13.44140625" style="32" customWidth="1"/>
    <col min="12068" max="12068" width="18" style="32" customWidth="1"/>
    <col min="12069" max="12069" width="42.44140625" style="32" customWidth="1"/>
    <col min="12070" max="12070" width="31" style="32" customWidth="1"/>
    <col min="12071" max="12071" width="35" style="32" customWidth="1"/>
    <col min="12072" max="12072" width="31" style="32" customWidth="1"/>
    <col min="12073" max="12073" width="35" style="32" customWidth="1"/>
    <col min="12074" max="12074" width="31" style="32" customWidth="1"/>
    <col min="12075" max="12075" width="37.44140625" style="32" customWidth="1"/>
    <col min="12076" max="12076" width="11.44140625" style="32" customWidth="1"/>
    <col min="12077" max="12077" width="54" style="32" customWidth="1"/>
    <col min="12078" max="12078" width="43.5546875" style="32" customWidth="1"/>
    <col min="12079" max="12079" width="44.5546875" style="32" customWidth="1"/>
    <col min="12080" max="12289" width="6.5546875" style="32"/>
    <col min="12290" max="12291" width="2.44140625" style="32" customWidth="1"/>
    <col min="12292" max="12292" width="11.5546875" style="32" hidden="1" customWidth="1"/>
    <col min="12293" max="12295" width="12.44140625" style="32" customWidth="1"/>
    <col min="12296" max="12296" width="12" style="32" customWidth="1"/>
    <col min="12297" max="12297" width="12.44140625" style="32" customWidth="1"/>
    <col min="12298" max="12298" width="13.44140625" style="32" customWidth="1"/>
    <col min="12299" max="12299" width="11.5546875" style="32" hidden="1" customWidth="1"/>
    <col min="12300" max="12302" width="13" style="32" customWidth="1"/>
    <col min="12303" max="12303" width="14.5546875" style="32" customWidth="1"/>
    <col min="12304" max="12305" width="13.44140625" style="32" customWidth="1"/>
    <col min="12306" max="12306" width="2.44140625" style="32" customWidth="1"/>
    <col min="12307" max="12307" width="13.44140625" style="32" customWidth="1"/>
    <col min="12308" max="12308" width="10.5546875" style="32" customWidth="1"/>
    <col min="12309" max="12309" width="12" style="32" customWidth="1"/>
    <col min="12310" max="12310" width="11.44140625" style="32" customWidth="1"/>
    <col min="12311" max="12311" width="16" style="32" customWidth="1"/>
    <col min="12312" max="12313" width="10.5546875" style="32" customWidth="1"/>
    <col min="12314" max="12314" width="15.5546875" style="32" customWidth="1"/>
    <col min="12315" max="12315" width="11.44140625" style="32" customWidth="1"/>
    <col min="12316" max="12316" width="12" style="32" customWidth="1"/>
    <col min="12317" max="12317" width="11.44140625" style="32" customWidth="1"/>
    <col min="12318" max="12318" width="12" style="32" customWidth="1"/>
    <col min="12319" max="12319" width="11.44140625" style="32" customWidth="1"/>
    <col min="12320" max="12320" width="12.44140625" style="32" customWidth="1"/>
    <col min="12321" max="12321" width="10.5546875" style="32" customWidth="1"/>
    <col min="12322" max="12322" width="19" style="32" customWidth="1"/>
    <col min="12323" max="12323" width="13.44140625" style="32" customWidth="1"/>
    <col min="12324" max="12324" width="18" style="32" customWidth="1"/>
    <col min="12325" max="12325" width="42.44140625" style="32" customWidth="1"/>
    <col min="12326" max="12326" width="31" style="32" customWidth="1"/>
    <col min="12327" max="12327" width="35" style="32" customWidth="1"/>
    <col min="12328" max="12328" width="31" style="32" customWidth="1"/>
    <col min="12329" max="12329" width="35" style="32" customWidth="1"/>
    <col min="12330" max="12330" width="31" style="32" customWidth="1"/>
    <col min="12331" max="12331" width="37.44140625" style="32" customWidth="1"/>
    <col min="12332" max="12332" width="11.44140625" style="32" customWidth="1"/>
    <col min="12333" max="12333" width="54" style="32" customWidth="1"/>
    <col min="12334" max="12334" width="43.5546875" style="32" customWidth="1"/>
    <col min="12335" max="12335" width="44.5546875" style="32" customWidth="1"/>
    <col min="12336" max="12545" width="6.5546875" style="32"/>
    <col min="12546" max="12547" width="2.44140625" style="32" customWidth="1"/>
    <col min="12548" max="12548" width="11.5546875" style="32" hidden="1" customWidth="1"/>
    <col min="12549" max="12551" width="12.44140625" style="32" customWidth="1"/>
    <col min="12552" max="12552" width="12" style="32" customWidth="1"/>
    <col min="12553" max="12553" width="12.44140625" style="32" customWidth="1"/>
    <col min="12554" max="12554" width="13.44140625" style="32" customWidth="1"/>
    <col min="12555" max="12555" width="11.5546875" style="32" hidden="1" customWidth="1"/>
    <col min="12556" max="12558" width="13" style="32" customWidth="1"/>
    <col min="12559" max="12559" width="14.5546875" style="32" customWidth="1"/>
    <col min="12560" max="12561" width="13.44140625" style="32" customWidth="1"/>
    <col min="12562" max="12562" width="2.44140625" style="32" customWidth="1"/>
    <col min="12563" max="12563" width="13.44140625" style="32" customWidth="1"/>
    <col min="12564" max="12564" width="10.5546875" style="32" customWidth="1"/>
    <col min="12565" max="12565" width="12" style="32" customWidth="1"/>
    <col min="12566" max="12566" width="11.44140625" style="32" customWidth="1"/>
    <col min="12567" max="12567" width="16" style="32" customWidth="1"/>
    <col min="12568" max="12569" width="10.5546875" style="32" customWidth="1"/>
    <col min="12570" max="12570" width="15.5546875" style="32" customWidth="1"/>
    <col min="12571" max="12571" width="11.44140625" style="32" customWidth="1"/>
    <col min="12572" max="12572" width="12" style="32" customWidth="1"/>
    <col min="12573" max="12573" width="11.44140625" style="32" customWidth="1"/>
    <col min="12574" max="12574" width="12" style="32" customWidth="1"/>
    <col min="12575" max="12575" width="11.44140625" style="32" customWidth="1"/>
    <col min="12576" max="12576" width="12.44140625" style="32" customWidth="1"/>
    <col min="12577" max="12577" width="10.5546875" style="32" customWidth="1"/>
    <col min="12578" max="12578" width="19" style="32" customWidth="1"/>
    <col min="12579" max="12579" width="13.44140625" style="32" customWidth="1"/>
    <col min="12580" max="12580" width="18" style="32" customWidth="1"/>
    <col min="12581" max="12581" width="42.44140625" style="32" customWidth="1"/>
    <col min="12582" max="12582" width="31" style="32" customWidth="1"/>
    <col min="12583" max="12583" width="35" style="32" customWidth="1"/>
    <col min="12584" max="12584" width="31" style="32" customWidth="1"/>
    <col min="12585" max="12585" width="35" style="32" customWidth="1"/>
    <col min="12586" max="12586" width="31" style="32" customWidth="1"/>
    <col min="12587" max="12587" width="37.44140625" style="32" customWidth="1"/>
    <col min="12588" max="12588" width="11.44140625" style="32" customWidth="1"/>
    <col min="12589" max="12589" width="54" style="32" customWidth="1"/>
    <col min="12590" max="12590" width="43.5546875" style="32" customWidth="1"/>
    <col min="12591" max="12591" width="44.5546875" style="32" customWidth="1"/>
    <col min="12592" max="12801" width="6.5546875" style="32"/>
    <col min="12802" max="12803" width="2.44140625" style="32" customWidth="1"/>
    <col min="12804" max="12804" width="11.5546875" style="32" hidden="1" customWidth="1"/>
    <col min="12805" max="12807" width="12.44140625" style="32" customWidth="1"/>
    <col min="12808" max="12808" width="12" style="32" customWidth="1"/>
    <col min="12809" max="12809" width="12.44140625" style="32" customWidth="1"/>
    <col min="12810" max="12810" width="13.44140625" style="32" customWidth="1"/>
    <col min="12811" max="12811" width="11.5546875" style="32" hidden="1" customWidth="1"/>
    <col min="12812" max="12814" width="13" style="32" customWidth="1"/>
    <col min="12815" max="12815" width="14.5546875" style="32" customWidth="1"/>
    <col min="12816" max="12817" width="13.44140625" style="32" customWidth="1"/>
    <col min="12818" max="12818" width="2.44140625" style="32" customWidth="1"/>
    <col min="12819" max="12819" width="13.44140625" style="32" customWidth="1"/>
    <col min="12820" max="12820" width="10.5546875" style="32" customWidth="1"/>
    <col min="12821" max="12821" width="12" style="32" customWidth="1"/>
    <col min="12822" max="12822" width="11.44140625" style="32" customWidth="1"/>
    <col min="12823" max="12823" width="16" style="32" customWidth="1"/>
    <col min="12824" max="12825" width="10.5546875" style="32" customWidth="1"/>
    <col min="12826" max="12826" width="15.5546875" style="32" customWidth="1"/>
    <col min="12827" max="12827" width="11.44140625" style="32" customWidth="1"/>
    <col min="12828" max="12828" width="12" style="32" customWidth="1"/>
    <col min="12829" max="12829" width="11.44140625" style="32" customWidth="1"/>
    <col min="12830" max="12830" width="12" style="32" customWidth="1"/>
    <col min="12831" max="12831" width="11.44140625" style="32" customWidth="1"/>
    <col min="12832" max="12832" width="12.44140625" style="32" customWidth="1"/>
    <col min="12833" max="12833" width="10.5546875" style="32" customWidth="1"/>
    <col min="12834" max="12834" width="19" style="32" customWidth="1"/>
    <col min="12835" max="12835" width="13.44140625" style="32" customWidth="1"/>
    <col min="12836" max="12836" width="18" style="32" customWidth="1"/>
    <col min="12837" max="12837" width="42.44140625" style="32" customWidth="1"/>
    <col min="12838" max="12838" width="31" style="32" customWidth="1"/>
    <col min="12839" max="12839" width="35" style="32" customWidth="1"/>
    <col min="12840" max="12840" width="31" style="32" customWidth="1"/>
    <col min="12841" max="12841" width="35" style="32" customWidth="1"/>
    <col min="12842" max="12842" width="31" style="32" customWidth="1"/>
    <col min="12843" max="12843" width="37.44140625" style="32" customWidth="1"/>
    <col min="12844" max="12844" width="11.44140625" style="32" customWidth="1"/>
    <col min="12845" max="12845" width="54" style="32" customWidth="1"/>
    <col min="12846" max="12846" width="43.5546875" style="32" customWidth="1"/>
    <col min="12847" max="12847" width="44.5546875" style="32" customWidth="1"/>
    <col min="12848" max="13057" width="6.5546875" style="32"/>
    <col min="13058" max="13059" width="2.44140625" style="32" customWidth="1"/>
    <col min="13060" max="13060" width="11.5546875" style="32" hidden="1" customWidth="1"/>
    <col min="13061" max="13063" width="12.44140625" style="32" customWidth="1"/>
    <col min="13064" max="13064" width="12" style="32" customWidth="1"/>
    <col min="13065" max="13065" width="12.44140625" style="32" customWidth="1"/>
    <col min="13066" max="13066" width="13.44140625" style="32" customWidth="1"/>
    <col min="13067" max="13067" width="11.5546875" style="32" hidden="1" customWidth="1"/>
    <col min="13068" max="13070" width="13" style="32" customWidth="1"/>
    <col min="13071" max="13071" width="14.5546875" style="32" customWidth="1"/>
    <col min="13072" max="13073" width="13.44140625" style="32" customWidth="1"/>
    <col min="13074" max="13074" width="2.44140625" style="32" customWidth="1"/>
    <col min="13075" max="13075" width="13.44140625" style="32" customWidth="1"/>
    <col min="13076" max="13076" width="10.5546875" style="32" customWidth="1"/>
    <col min="13077" max="13077" width="12" style="32" customWidth="1"/>
    <col min="13078" max="13078" width="11.44140625" style="32" customWidth="1"/>
    <col min="13079" max="13079" width="16" style="32" customWidth="1"/>
    <col min="13080" max="13081" width="10.5546875" style="32" customWidth="1"/>
    <col min="13082" max="13082" width="15.5546875" style="32" customWidth="1"/>
    <col min="13083" max="13083" width="11.44140625" style="32" customWidth="1"/>
    <col min="13084" max="13084" width="12" style="32" customWidth="1"/>
    <col min="13085" max="13085" width="11.44140625" style="32" customWidth="1"/>
    <col min="13086" max="13086" width="12" style="32" customWidth="1"/>
    <col min="13087" max="13087" width="11.44140625" style="32" customWidth="1"/>
    <col min="13088" max="13088" width="12.44140625" style="32" customWidth="1"/>
    <col min="13089" max="13089" width="10.5546875" style="32" customWidth="1"/>
    <col min="13090" max="13090" width="19" style="32" customWidth="1"/>
    <col min="13091" max="13091" width="13.44140625" style="32" customWidth="1"/>
    <col min="13092" max="13092" width="18" style="32" customWidth="1"/>
    <col min="13093" max="13093" width="42.44140625" style="32" customWidth="1"/>
    <col min="13094" max="13094" width="31" style="32" customWidth="1"/>
    <col min="13095" max="13095" width="35" style="32" customWidth="1"/>
    <col min="13096" max="13096" width="31" style="32" customWidth="1"/>
    <col min="13097" max="13097" width="35" style="32" customWidth="1"/>
    <col min="13098" max="13098" width="31" style="32" customWidth="1"/>
    <col min="13099" max="13099" width="37.44140625" style="32" customWidth="1"/>
    <col min="13100" max="13100" width="11.44140625" style="32" customWidth="1"/>
    <col min="13101" max="13101" width="54" style="32" customWidth="1"/>
    <col min="13102" max="13102" width="43.5546875" style="32" customWidth="1"/>
    <col min="13103" max="13103" width="44.5546875" style="32" customWidth="1"/>
    <col min="13104" max="13313" width="6.5546875" style="32"/>
    <col min="13314" max="13315" width="2.44140625" style="32" customWidth="1"/>
    <col min="13316" max="13316" width="11.5546875" style="32" hidden="1" customWidth="1"/>
    <col min="13317" max="13319" width="12.44140625" style="32" customWidth="1"/>
    <col min="13320" max="13320" width="12" style="32" customWidth="1"/>
    <col min="13321" max="13321" width="12.44140625" style="32" customWidth="1"/>
    <col min="13322" max="13322" width="13.44140625" style="32" customWidth="1"/>
    <col min="13323" max="13323" width="11.5546875" style="32" hidden="1" customWidth="1"/>
    <col min="13324" max="13326" width="13" style="32" customWidth="1"/>
    <col min="13327" max="13327" width="14.5546875" style="32" customWidth="1"/>
    <col min="13328" max="13329" width="13.44140625" style="32" customWidth="1"/>
    <col min="13330" max="13330" width="2.44140625" style="32" customWidth="1"/>
    <col min="13331" max="13331" width="13.44140625" style="32" customWidth="1"/>
    <col min="13332" max="13332" width="10.5546875" style="32" customWidth="1"/>
    <col min="13333" max="13333" width="12" style="32" customWidth="1"/>
    <col min="13334" max="13334" width="11.44140625" style="32" customWidth="1"/>
    <col min="13335" max="13335" width="16" style="32" customWidth="1"/>
    <col min="13336" max="13337" width="10.5546875" style="32" customWidth="1"/>
    <col min="13338" max="13338" width="15.5546875" style="32" customWidth="1"/>
    <col min="13339" max="13339" width="11.44140625" style="32" customWidth="1"/>
    <col min="13340" max="13340" width="12" style="32" customWidth="1"/>
    <col min="13341" max="13341" width="11.44140625" style="32" customWidth="1"/>
    <col min="13342" max="13342" width="12" style="32" customWidth="1"/>
    <col min="13343" max="13343" width="11.44140625" style="32" customWidth="1"/>
    <col min="13344" max="13344" width="12.44140625" style="32" customWidth="1"/>
    <col min="13345" max="13345" width="10.5546875" style="32" customWidth="1"/>
    <col min="13346" max="13346" width="19" style="32" customWidth="1"/>
    <col min="13347" max="13347" width="13.44140625" style="32" customWidth="1"/>
    <col min="13348" max="13348" width="18" style="32" customWidth="1"/>
    <col min="13349" max="13349" width="42.44140625" style="32" customWidth="1"/>
    <col min="13350" max="13350" width="31" style="32" customWidth="1"/>
    <col min="13351" max="13351" width="35" style="32" customWidth="1"/>
    <col min="13352" max="13352" width="31" style="32" customWidth="1"/>
    <col min="13353" max="13353" width="35" style="32" customWidth="1"/>
    <col min="13354" max="13354" width="31" style="32" customWidth="1"/>
    <col min="13355" max="13355" width="37.44140625" style="32" customWidth="1"/>
    <col min="13356" max="13356" width="11.44140625" style="32" customWidth="1"/>
    <col min="13357" max="13357" width="54" style="32" customWidth="1"/>
    <col min="13358" max="13358" width="43.5546875" style="32" customWidth="1"/>
    <col min="13359" max="13359" width="44.5546875" style="32" customWidth="1"/>
    <col min="13360" max="13569" width="6.5546875" style="32"/>
    <col min="13570" max="13571" width="2.44140625" style="32" customWidth="1"/>
    <col min="13572" max="13572" width="11.5546875" style="32" hidden="1" customWidth="1"/>
    <col min="13573" max="13575" width="12.44140625" style="32" customWidth="1"/>
    <col min="13576" max="13576" width="12" style="32" customWidth="1"/>
    <col min="13577" max="13577" width="12.44140625" style="32" customWidth="1"/>
    <col min="13578" max="13578" width="13.44140625" style="32" customWidth="1"/>
    <col min="13579" max="13579" width="11.5546875" style="32" hidden="1" customWidth="1"/>
    <col min="13580" max="13582" width="13" style="32" customWidth="1"/>
    <col min="13583" max="13583" width="14.5546875" style="32" customWidth="1"/>
    <col min="13584" max="13585" width="13.44140625" style="32" customWidth="1"/>
    <col min="13586" max="13586" width="2.44140625" style="32" customWidth="1"/>
    <col min="13587" max="13587" width="13.44140625" style="32" customWidth="1"/>
    <col min="13588" max="13588" width="10.5546875" style="32" customWidth="1"/>
    <col min="13589" max="13589" width="12" style="32" customWidth="1"/>
    <col min="13590" max="13590" width="11.44140625" style="32" customWidth="1"/>
    <col min="13591" max="13591" width="16" style="32" customWidth="1"/>
    <col min="13592" max="13593" width="10.5546875" style="32" customWidth="1"/>
    <col min="13594" max="13594" width="15.5546875" style="32" customWidth="1"/>
    <col min="13595" max="13595" width="11.44140625" style="32" customWidth="1"/>
    <col min="13596" max="13596" width="12" style="32" customWidth="1"/>
    <col min="13597" max="13597" width="11.44140625" style="32" customWidth="1"/>
    <col min="13598" max="13598" width="12" style="32" customWidth="1"/>
    <col min="13599" max="13599" width="11.44140625" style="32" customWidth="1"/>
    <col min="13600" max="13600" width="12.44140625" style="32" customWidth="1"/>
    <col min="13601" max="13601" width="10.5546875" style="32" customWidth="1"/>
    <col min="13602" max="13602" width="19" style="32" customWidth="1"/>
    <col min="13603" max="13603" width="13.44140625" style="32" customWidth="1"/>
    <col min="13604" max="13604" width="18" style="32" customWidth="1"/>
    <col min="13605" max="13605" width="42.44140625" style="32" customWidth="1"/>
    <col min="13606" max="13606" width="31" style="32" customWidth="1"/>
    <col min="13607" max="13607" width="35" style="32" customWidth="1"/>
    <col min="13608" max="13608" width="31" style="32" customWidth="1"/>
    <col min="13609" max="13609" width="35" style="32" customWidth="1"/>
    <col min="13610" max="13610" width="31" style="32" customWidth="1"/>
    <col min="13611" max="13611" width="37.44140625" style="32" customWidth="1"/>
    <col min="13612" max="13612" width="11.44140625" style="32" customWidth="1"/>
    <col min="13613" max="13613" width="54" style="32" customWidth="1"/>
    <col min="13614" max="13614" width="43.5546875" style="32" customWidth="1"/>
    <col min="13615" max="13615" width="44.5546875" style="32" customWidth="1"/>
    <col min="13616" max="13825" width="6.5546875" style="32"/>
    <col min="13826" max="13827" width="2.44140625" style="32" customWidth="1"/>
    <col min="13828" max="13828" width="11.5546875" style="32" hidden="1" customWidth="1"/>
    <col min="13829" max="13831" width="12.44140625" style="32" customWidth="1"/>
    <col min="13832" max="13832" width="12" style="32" customWidth="1"/>
    <col min="13833" max="13833" width="12.44140625" style="32" customWidth="1"/>
    <col min="13834" max="13834" width="13.44140625" style="32" customWidth="1"/>
    <col min="13835" max="13835" width="11.5546875" style="32" hidden="1" customWidth="1"/>
    <col min="13836" max="13838" width="13" style="32" customWidth="1"/>
    <col min="13839" max="13839" width="14.5546875" style="32" customWidth="1"/>
    <col min="13840" max="13841" width="13.44140625" style="32" customWidth="1"/>
    <col min="13842" max="13842" width="2.44140625" style="32" customWidth="1"/>
    <col min="13843" max="13843" width="13.44140625" style="32" customWidth="1"/>
    <col min="13844" max="13844" width="10.5546875" style="32" customWidth="1"/>
    <col min="13845" max="13845" width="12" style="32" customWidth="1"/>
    <col min="13846" max="13846" width="11.44140625" style="32" customWidth="1"/>
    <col min="13847" max="13847" width="16" style="32" customWidth="1"/>
    <col min="13848" max="13849" width="10.5546875" style="32" customWidth="1"/>
    <col min="13850" max="13850" width="15.5546875" style="32" customWidth="1"/>
    <col min="13851" max="13851" width="11.44140625" style="32" customWidth="1"/>
    <col min="13852" max="13852" width="12" style="32" customWidth="1"/>
    <col min="13853" max="13853" width="11.44140625" style="32" customWidth="1"/>
    <col min="13854" max="13854" width="12" style="32" customWidth="1"/>
    <col min="13855" max="13855" width="11.44140625" style="32" customWidth="1"/>
    <col min="13856" max="13856" width="12.44140625" style="32" customWidth="1"/>
    <col min="13857" max="13857" width="10.5546875" style="32" customWidth="1"/>
    <col min="13858" max="13858" width="19" style="32" customWidth="1"/>
    <col min="13859" max="13859" width="13.44140625" style="32" customWidth="1"/>
    <col min="13860" max="13860" width="18" style="32" customWidth="1"/>
    <col min="13861" max="13861" width="42.44140625" style="32" customWidth="1"/>
    <col min="13862" max="13862" width="31" style="32" customWidth="1"/>
    <col min="13863" max="13863" width="35" style="32" customWidth="1"/>
    <col min="13864" max="13864" width="31" style="32" customWidth="1"/>
    <col min="13865" max="13865" width="35" style="32" customWidth="1"/>
    <col min="13866" max="13866" width="31" style="32" customWidth="1"/>
    <col min="13867" max="13867" width="37.44140625" style="32" customWidth="1"/>
    <col min="13868" max="13868" width="11.44140625" style="32" customWidth="1"/>
    <col min="13869" max="13869" width="54" style="32" customWidth="1"/>
    <col min="13870" max="13870" width="43.5546875" style="32" customWidth="1"/>
    <col min="13871" max="13871" width="44.5546875" style="32" customWidth="1"/>
    <col min="13872" max="14081" width="6.5546875" style="32"/>
    <col min="14082" max="14083" width="2.44140625" style="32" customWidth="1"/>
    <col min="14084" max="14084" width="11.5546875" style="32" hidden="1" customWidth="1"/>
    <col min="14085" max="14087" width="12.44140625" style="32" customWidth="1"/>
    <col min="14088" max="14088" width="12" style="32" customWidth="1"/>
    <col min="14089" max="14089" width="12.44140625" style="32" customWidth="1"/>
    <col min="14090" max="14090" width="13.44140625" style="32" customWidth="1"/>
    <col min="14091" max="14091" width="11.5546875" style="32" hidden="1" customWidth="1"/>
    <col min="14092" max="14094" width="13" style="32" customWidth="1"/>
    <col min="14095" max="14095" width="14.5546875" style="32" customWidth="1"/>
    <col min="14096" max="14097" width="13.44140625" style="32" customWidth="1"/>
    <col min="14098" max="14098" width="2.44140625" style="32" customWidth="1"/>
    <col min="14099" max="14099" width="13.44140625" style="32" customWidth="1"/>
    <col min="14100" max="14100" width="10.5546875" style="32" customWidth="1"/>
    <col min="14101" max="14101" width="12" style="32" customWidth="1"/>
    <col min="14102" max="14102" width="11.44140625" style="32" customWidth="1"/>
    <col min="14103" max="14103" width="16" style="32" customWidth="1"/>
    <col min="14104" max="14105" width="10.5546875" style="32" customWidth="1"/>
    <col min="14106" max="14106" width="15.5546875" style="32" customWidth="1"/>
    <col min="14107" max="14107" width="11.44140625" style="32" customWidth="1"/>
    <col min="14108" max="14108" width="12" style="32" customWidth="1"/>
    <col min="14109" max="14109" width="11.44140625" style="32" customWidth="1"/>
    <col min="14110" max="14110" width="12" style="32" customWidth="1"/>
    <col min="14111" max="14111" width="11.44140625" style="32" customWidth="1"/>
    <col min="14112" max="14112" width="12.44140625" style="32" customWidth="1"/>
    <col min="14113" max="14113" width="10.5546875" style="32" customWidth="1"/>
    <col min="14114" max="14114" width="19" style="32" customWidth="1"/>
    <col min="14115" max="14115" width="13.44140625" style="32" customWidth="1"/>
    <col min="14116" max="14116" width="18" style="32" customWidth="1"/>
    <col min="14117" max="14117" width="42.44140625" style="32" customWidth="1"/>
    <col min="14118" max="14118" width="31" style="32" customWidth="1"/>
    <col min="14119" max="14119" width="35" style="32" customWidth="1"/>
    <col min="14120" max="14120" width="31" style="32" customWidth="1"/>
    <col min="14121" max="14121" width="35" style="32" customWidth="1"/>
    <col min="14122" max="14122" width="31" style="32" customWidth="1"/>
    <col min="14123" max="14123" width="37.44140625" style="32" customWidth="1"/>
    <col min="14124" max="14124" width="11.44140625" style="32" customWidth="1"/>
    <col min="14125" max="14125" width="54" style="32" customWidth="1"/>
    <col min="14126" max="14126" width="43.5546875" style="32" customWidth="1"/>
    <col min="14127" max="14127" width="44.5546875" style="32" customWidth="1"/>
    <col min="14128" max="14337" width="6.5546875" style="32"/>
    <col min="14338" max="14339" width="2.44140625" style="32" customWidth="1"/>
    <col min="14340" max="14340" width="11.5546875" style="32" hidden="1" customWidth="1"/>
    <col min="14341" max="14343" width="12.44140625" style="32" customWidth="1"/>
    <col min="14344" max="14344" width="12" style="32" customWidth="1"/>
    <col min="14345" max="14345" width="12.44140625" style="32" customWidth="1"/>
    <col min="14346" max="14346" width="13.44140625" style="32" customWidth="1"/>
    <col min="14347" max="14347" width="11.5546875" style="32" hidden="1" customWidth="1"/>
    <col min="14348" max="14350" width="13" style="32" customWidth="1"/>
    <col min="14351" max="14351" width="14.5546875" style="32" customWidth="1"/>
    <col min="14352" max="14353" width="13.44140625" style="32" customWidth="1"/>
    <col min="14354" max="14354" width="2.44140625" style="32" customWidth="1"/>
    <col min="14355" max="14355" width="13.44140625" style="32" customWidth="1"/>
    <col min="14356" max="14356" width="10.5546875" style="32" customWidth="1"/>
    <col min="14357" max="14357" width="12" style="32" customWidth="1"/>
    <col min="14358" max="14358" width="11.44140625" style="32" customWidth="1"/>
    <col min="14359" max="14359" width="16" style="32" customWidth="1"/>
    <col min="14360" max="14361" width="10.5546875" style="32" customWidth="1"/>
    <col min="14362" max="14362" width="15.5546875" style="32" customWidth="1"/>
    <col min="14363" max="14363" width="11.44140625" style="32" customWidth="1"/>
    <col min="14364" max="14364" width="12" style="32" customWidth="1"/>
    <col min="14365" max="14365" width="11.44140625" style="32" customWidth="1"/>
    <col min="14366" max="14366" width="12" style="32" customWidth="1"/>
    <col min="14367" max="14367" width="11.44140625" style="32" customWidth="1"/>
    <col min="14368" max="14368" width="12.44140625" style="32" customWidth="1"/>
    <col min="14369" max="14369" width="10.5546875" style="32" customWidth="1"/>
    <col min="14370" max="14370" width="19" style="32" customWidth="1"/>
    <col min="14371" max="14371" width="13.44140625" style="32" customWidth="1"/>
    <col min="14372" max="14372" width="18" style="32" customWidth="1"/>
    <col min="14373" max="14373" width="42.44140625" style="32" customWidth="1"/>
    <col min="14374" max="14374" width="31" style="32" customWidth="1"/>
    <col min="14375" max="14375" width="35" style="32" customWidth="1"/>
    <col min="14376" max="14376" width="31" style="32" customWidth="1"/>
    <col min="14377" max="14377" width="35" style="32" customWidth="1"/>
    <col min="14378" max="14378" width="31" style="32" customWidth="1"/>
    <col min="14379" max="14379" width="37.44140625" style="32" customWidth="1"/>
    <col min="14380" max="14380" width="11.44140625" style="32" customWidth="1"/>
    <col min="14381" max="14381" width="54" style="32" customWidth="1"/>
    <col min="14382" max="14382" width="43.5546875" style="32" customWidth="1"/>
    <col min="14383" max="14383" width="44.5546875" style="32" customWidth="1"/>
    <col min="14384" max="14593" width="6.5546875" style="32"/>
    <col min="14594" max="14595" width="2.44140625" style="32" customWidth="1"/>
    <col min="14596" max="14596" width="11.5546875" style="32" hidden="1" customWidth="1"/>
    <col min="14597" max="14599" width="12.44140625" style="32" customWidth="1"/>
    <col min="14600" max="14600" width="12" style="32" customWidth="1"/>
    <col min="14601" max="14601" width="12.44140625" style="32" customWidth="1"/>
    <col min="14602" max="14602" width="13.44140625" style="32" customWidth="1"/>
    <col min="14603" max="14603" width="11.5546875" style="32" hidden="1" customWidth="1"/>
    <col min="14604" max="14606" width="13" style="32" customWidth="1"/>
    <col min="14607" max="14607" width="14.5546875" style="32" customWidth="1"/>
    <col min="14608" max="14609" width="13.44140625" style="32" customWidth="1"/>
    <col min="14610" max="14610" width="2.44140625" style="32" customWidth="1"/>
    <col min="14611" max="14611" width="13.44140625" style="32" customWidth="1"/>
    <col min="14612" max="14612" width="10.5546875" style="32" customWidth="1"/>
    <col min="14613" max="14613" width="12" style="32" customWidth="1"/>
    <col min="14614" max="14614" width="11.44140625" style="32" customWidth="1"/>
    <col min="14615" max="14615" width="16" style="32" customWidth="1"/>
    <col min="14616" max="14617" width="10.5546875" style="32" customWidth="1"/>
    <col min="14618" max="14618" width="15.5546875" style="32" customWidth="1"/>
    <col min="14619" max="14619" width="11.44140625" style="32" customWidth="1"/>
    <col min="14620" max="14620" width="12" style="32" customWidth="1"/>
    <col min="14621" max="14621" width="11.44140625" style="32" customWidth="1"/>
    <col min="14622" max="14622" width="12" style="32" customWidth="1"/>
    <col min="14623" max="14623" width="11.44140625" style="32" customWidth="1"/>
    <col min="14624" max="14624" width="12.44140625" style="32" customWidth="1"/>
    <col min="14625" max="14625" width="10.5546875" style="32" customWidth="1"/>
    <col min="14626" max="14626" width="19" style="32" customWidth="1"/>
    <col min="14627" max="14627" width="13.44140625" style="32" customWidth="1"/>
    <col min="14628" max="14628" width="18" style="32" customWidth="1"/>
    <col min="14629" max="14629" width="42.44140625" style="32" customWidth="1"/>
    <col min="14630" max="14630" width="31" style="32" customWidth="1"/>
    <col min="14631" max="14631" width="35" style="32" customWidth="1"/>
    <col min="14632" max="14632" width="31" style="32" customWidth="1"/>
    <col min="14633" max="14633" width="35" style="32" customWidth="1"/>
    <col min="14634" max="14634" width="31" style="32" customWidth="1"/>
    <col min="14635" max="14635" width="37.44140625" style="32" customWidth="1"/>
    <col min="14636" max="14636" width="11.44140625" style="32" customWidth="1"/>
    <col min="14637" max="14637" width="54" style="32" customWidth="1"/>
    <col min="14638" max="14638" width="43.5546875" style="32" customWidth="1"/>
    <col min="14639" max="14639" width="44.5546875" style="32" customWidth="1"/>
    <col min="14640" max="14849" width="6.5546875" style="32"/>
    <col min="14850" max="14851" width="2.44140625" style="32" customWidth="1"/>
    <col min="14852" max="14852" width="11.5546875" style="32" hidden="1" customWidth="1"/>
    <col min="14853" max="14855" width="12.44140625" style="32" customWidth="1"/>
    <col min="14856" max="14856" width="12" style="32" customWidth="1"/>
    <col min="14857" max="14857" width="12.44140625" style="32" customWidth="1"/>
    <col min="14858" max="14858" width="13.44140625" style="32" customWidth="1"/>
    <col min="14859" max="14859" width="11.5546875" style="32" hidden="1" customWidth="1"/>
    <col min="14860" max="14862" width="13" style="32" customWidth="1"/>
    <col min="14863" max="14863" width="14.5546875" style="32" customWidth="1"/>
    <col min="14864" max="14865" width="13.44140625" style="32" customWidth="1"/>
    <col min="14866" max="14866" width="2.44140625" style="32" customWidth="1"/>
    <col min="14867" max="14867" width="13.44140625" style="32" customWidth="1"/>
    <col min="14868" max="14868" width="10.5546875" style="32" customWidth="1"/>
    <col min="14869" max="14869" width="12" style="32" customWidth="1"/>
    <col min="14870" max="14870" width="11.44140625" style="32" customWidth="1"/>
    <col min="14871" max="14871" width="16" style="32" customWidth="1"/>
    <col min="14872" max="14873" width="10.5546875" style="32" customWidth="1"/>
    <col min="14874" max="14874" width="15.5546875" style="32" customWidth="1"/>
    <col min="14875" max="14875" width="11.44140625" style="32" customWidth="1"/>
    <col min="14876" max="14876" width="12" style="32" customWidth="1"/>
    <col min="14877" max="14877" width="11.44140625" style="32" customWidth="1"/>
    <col min="14878" max="14878" width="12" style="32" customWidth="1"/>
    <col min="14879" max="14879" width="11.44140625" style="32" customWidth="1"/>
    <col min="14880" max="14880" width="12.44140625" style="32" customWidth="1"/>
    <col min="14881" max="14881" width="10.5546875" style="32" customWidth="1"/>
    <col min="14882" max="14882" width="19" style="32" customWidth="1"/>
    <col min="14883" max="14883" width="13.44140625" style="32" customWidth="1"/>
    <col min="14884" max="14884" width="18" style="32" customWidth="1"/>
    <col min="14885" max="14885" width="42.44140625" style="32" customWidth="1"/>
    <col min="14886" max="14886" width="31" style="32" customWidth="1"/>
    <col min="14887" max="14887" width="35" style="32" customWidth="1"/>
    <col min="14888" max="14888" width="31" style="32" customWidth="1"/>
    <col min="14889" max="14889" width="35" style="32" customWidth="1"/>
    <col min="14890" max="14890" width="31" style="32" customWidth="1"/>
    <col min="14891" max="14891" width="37.44140625" style="32" customWidth="1"/>
    <col min="14892" max="14892" width="11.44140625" style="32" customWidth="1"/>
    <col min="14893" max="14893" width="54" style="32" customWidth="1"/>
    <col min="14894" max="14894" width="43.5546875" style="32" customWidth="1"/>
    <col min="14895" max="14895" width="44.5546875" style="32" customWidth="1"/>
    <col min="14896" max="15105" width="6.5546875" style="32"/>
    <col min="15106" max="15107" width="2.44140625" style="32" customWidth="1"/>
    <col min="15108" max="15108" width="11.5546875" style="32" hidden="1" customWidth="1"/>
    <col min="15109" max="15111" width="12.44140625" style="32" customWidth="1"/>
    <col min="15112" max="15112" width="12" style="32" customWidth="1"/>
    <col min="15113" max="15113" width="12.44140625" style="32" customWidth="1"/>
    <col min="15114" max="15114" width="13.44140625" style="32" customWidth="1"/>
    <col min="15115" max="15115" width="11.5546875" style="32" hidden="1" customWidth="1"/>
    <col min="15116" max="15118" width="13" style="32" customWidth="1"/>
    <col min="15119" max="15119" width="14.5546875" style="32" customWidth="1"/>
    <col min="15120" max="15121" width="13.44140625" style="32" customWidth="1"/>
    <col min="15122" max="15122" width="2.44140625" style="32" customWidth="1"/>
    <col min="15123" max="15123" width="13.44140625" style="32" customWidth="1"/>
    <col min="15124" max="15124" width="10.5546875" style="32" customWidth="1"/>
    <col min="15125" max="15125" width="12" style="32" customWidth="1"/>
    <col min="15126" max="15126" width="11.44140625" style="32" customWidth="1"/>
    <col min="15127" max="15127" width="16" style="32" customWidth="1"/>
    <col min="15128" max="15129" width="10.5546875" style="32" customWidth="1"/>
    <col min="15130" max="15130" width="15.5546875" style="32" customWidth="1"/>
    <col min="15131" max="15131" width="11.44140625" style="32" customWidth="1"/>
    <col min="15132" max="15132" width="12" style="32" customWidth="1"/>
    <col min="15133" max="15133" width="11.44140625" style="32" customWidth="1"/>
    <col min="15134" max="15134" width="12" style="32" customWidth="1"/>
    <col min="15135" max="15135" width="11.44140625" style="32" customWidth="1"/>
    <col min="15136" max="15136" width="12.44140625" style="32" customWidth="1"/>
    <col min="15137" max="15137" width="10.5546875" style="32" customWidth="1"/>
    <col min="15138" max="15138" width="19" style="32" customWidth="1"/>
    <col min="15139" max="15139" width="13.44140625" style="32" customWidth="1"/>
    <col min="15140" max="15140" width="18" style="32" customWidth="1"/>
    <col min="15141" max="15141" width="42.44140625" style="32" customWidth="1"/>
    <col min="15142" max="15142" width="31" style="32" customWidth="1"/>
    <col min="15143" max="15143" width="35" style="32" customWidth="1"/>
    <col min="15144" max="15144" width="31" style="32" customWidth="1"/>
    <col min="15145" max="15145" width="35" style="32" customWidth="1"/>
    <col min="15146" max="15146" width="31" style="32" customWidth="1"/>
    <col min="15147" max="15147" width="37.44140625" style="32" customWidth="1"/>
    <col min="15148" max="15148" width="11.44140625" style="32" customWidth="1"/>
    <col min="15149" max="15149" width="54" style="32" customWidth="1"/>
    <col min="15150" max="15150" width="43.5546875" style="32" customWidth="1"/>
    <col min="15151" max="15151" width="44.5546875" style="32" customWidth="1"/>
    <col min="15152" max="15361" width="6.5546875" style="32"/>
    <col min="15362" max="15363" width="2.44140625" style="32" customWidth="1"/>
    <col min="15364" max="15364" width="11.5546875" style="32" hidden="1" customWidth="1"/>
    <col min="15365" max="15367" width="12.44140625" style="32" customWidth="1"/>
    <col min="15368" max="15368" width="12" style="32" customWidth="1"/>
    <col min="15369" max="15369" width="12.44140625" style="32" customWidth="1"/>
    <col min="15370" max="15370" width="13.44140625" style="32" customWidth="1"/>
    <col min="15371" max="15371" width="11.5546875" style="32" hidden="1" customWidth="1"/>
    <col min="15372" max="15374" width="13" style="32" customWidth="1"/>
    <col min="15375" max="15375" width="14.5546875" style="32" customWidth="1"/>
    <col min="15376" max="15377" width="13.44140625" style="32" customWidth="1"/>
    <col min="15378" max="15378" width="2.44140625" style="32" customWidth="1"/>
    <col min="15379" max="15379" width="13.44140625" style="32" customWidth="1"/>
    <col min="15380" max="15380" width="10.5546875" style="32" customWidth="1"/>
    <col min="15381" max="15381" width="12" style="32" customWidth="1"/>
    <col min="15382" max="15382" width="11.44140625" style="32" customWidth="1"/>
    <col min="15383" max="15383" width="16" style="32" customWidth="1"/>
    <col min="15384" max="15385" width="10.5546875" style="32" customWidth="1"/>
    <col min="15386" max="15386" width="15.5546875" style="32" customWidth="1"/>
    <col min="15387" max="15387" width="11.44140625" style="32" customWidth="1"/>
    <col min="15388" max="15388" width="12" style="32" customWidth="1"/>
    <col min="15389" max="15389" width="11.44140625" style="32" customWidth="1"/>
    <col min="15390" max="15390" width="12" style="32" customWidth="1"/>
    <col min="15391" max="15391" width="11.44140625" style="32" customWidth="1"/>
    <col min="15392" max="15392" width="12.44140625" style="32" customWidth="1"/>
    <col min="15393" max="15393" width="10.5546875" style="32" customWidth="1"/>
    <col min="15394" max="15394" width="19" style="32" customWidth="1"/>
    <col min="15395" max="15395" width="13.44140625" style="32" customWidth="1"/>
    <col min="15396" max="15396" width="18" style="32" customWidth="1"/>
    <col min="15397" max="15397" width="42.44140625" style="32" customWidth="1"/>
    <col min="15398" max="15398" width="31" style="32" customWidth="1"/>
    <col min="15399" max="15399" width="35" style="32" customWidth="1"/>
    <col min="15400" max="15400" width="31" style="32" customWidth="1"/>
    <col min="15401" max="15401" width="35" style="32" customWidth="1"/>
    <col min="15402" max="15402" width="31" style="32" customWidth="1"/>
    <col min="15403" max="15403" width="37.44140625" style="32" customWidth="1"/>
    <col min="15404" max="15404" width="11.44140625" style="32" customWidth="1"/>
    <col min="15405" max="15405" width="54" style="32" customWidth="1"/>
    <col min="15406" max="15406" width="43.5546875" style="32" customWidth="1"/>
    <col min="15407" max="15407" width="44.5546875" style="32" customWidth="1"/>
    <col min="15408" max="15617" width="6.5546875" style="32"/>
    <col min="15618" max="15619" width="2.44140625" style="32" customWidth="1"/>
    <col min="15620" max="15620" width="11.5546875" style="32" hidden="1" customWidth="1"/>
    <col min="15621" max="15623" width="12.44140625" style="32" customWidth="1"/>
    <col min="15624" max="15624" width="12" style="32" customWidth="1"/>
    <col min="15625" max="15625" width="12.44140625" style="32" customWidth="1"/>
    <col min="15626" max="15626" width="13.44140625" style="32" customWidth="1"/>
    <col min="15627" max="15627" width="11.5546875" style="32" hidden="1" customWidth="1"/>
    <col min="15628" max="15630" width="13" style="32" customWidth="1"/>
    <col min="15631" max="15631" width="14.5546875" style="32" customWidth="1"/>
    <col min="15632" max="15633" width="13.44140625" style="32" customWidth="1"/>
    <col min="15634" max="15634" width="2.44140625" style="32" customWidth="1"/>
    <col min="15635" max="15635" width="13.44140625" style="32" customWidth="1"/>
    <col min="15636" max="15636" width="10.5546875" style="32" customWidth="1"/>
    <col min="15637" max="15637" width="12" style="32" customWidth="1"/>
    <col min="15638" max="15638" width="11.44140625" style="32" customWidth="1"/>
    <col min="15639" max="15639" width="16" style="32" customWidth="1"/>
    <col min="15640" max="15641" width="10.5546875" style="32" customWidth="1"/>
    <col min="15642" max="15642" width="15.5546875" style="32" customWidth="1"/>
    <col min="15643" max="15643" width="11.44140625" style="32" customWidth="1"/>
    <col min="15644" max="15644" width="12" style="32" customWidth="1"/>
    <col min="15645" max="15645" width="11.44140625" style="32" customWidth="1"/>
    <col min="15646" max="15646" width="12" style="32" customWidth="1"/>
    <col min="15647" max="15647" width="11.44140625" style="32" customWidth="1"/>
    <col min="15648" max="15648" width="12.44140625" style="32" customWidth="1"/>
    <col min="15649" max="15649" width="10.5546875" style="32" customWidth="1"/>
    <col min="15650" max="15650" width="19" style="32" customWidth="1"/>
    <col min="15651" max="15651" width="13.44140625" style="32" customWidth="1"/>
    <col min="15652" max="15652" width="18" style="32" customWidth="1"/>
    <col min="15653" max="15653" width="42.44140625" style="32" customWidth="1"/>
    <col min="15654" max="15654" width="31" style="32" customWidth="1"/>
    <col min="15655" max="15655" width="35" style="32" customWidth="1"/>
    <col min="15656" max="15656" width="31" style="32" customWidth="1"/>
    <col min="15657" max="15657" width="35" style="32" customWidth="1"/>
    <col min="15658" max="15658" width="31" style="32" customWidth="1"/>
    <col min="15659" max="15659" width="37.44140625" style="32" customWidth="1"/>
    <col min="15660" max="15660" width="11.44140625" style="32" customWidth="1"/>
    <col min="15661" max="15661" width="54" style="32" customWidth="1"/>
    <col min="15662" max="15662" width="43.5546875" style="32" customWidth="1"/>
    <col min="15663" max="15663" width="44.5546875" style="32" customWidth="1"/>
    <col min="15664" max="15873" width="6.5546875" style="32"/>
    <col min="15874" max="15875" width="2.44140625" style="32" customWidth="1"/>
    <col min="15876" max="15876" width="11.5546875" style="32" hidden="1" customWidth="1"/>
    <col min="15877" max="15879" width="12.44140625" style="32" customWidth="1"/>
    <col min="15880" max="15880" width="12" style="32" customWidth="1"/>
    <col min="15881" max="15881" width="12.44140625" style="32" customWidth="1"/>
    <col min="15882" max="15882" width="13.44140625" style="32" customWidth="1"/>
    <col min="15883" max="15883" width="11.5546875" style="32" hidden="1" customWidth="1"/>
    <col min="15884" max="15886" width="13" style="32" customWidth="1"/>
    <col min="15887" max="15887" width="14.5546875" style="32" customWidth="1"/>
    <col min="15888" max="15889" width="13.44140625" style="32" customWidth="1"/>
    <col min="15890" max="15890" width="2.44140625" style="32" customWidth="1"/>
    <col min="15891" max="15891" width="13.44140625" style="32" customWidth="1"/>
    <col min="15892" max="15892" width="10.5546875" style="32" customWidth="1"/>
    <col min="15893" max="15893" width="12" style="32" customWidth="1"/>
    <col min="15894" max="15894" width="11.44140625" style="32" customWidth="1"/>
    <col min="15895" max="15895" width="16" style="32" customWidth="1"/>
    <col min="15896" max="15897" width="10.5546875" style="32" customWidth="1"/>
    <col min="15898" max="15898" width="15.5546875" style="32" customWidth="1"/>
    <col min="15899" max="15899" width="11.44140625" style="32" customWidth="1"/>
    <col min="15900" max="15900" width="12" style="32" customWidth="1"/>
    <col min="15901" max="15901" width="11.44140625" style="32" customWidth="1"/>
    <col min="15902" max="15902" width="12" style="32" customWidth="1"/>
    <col min="15903" max="15903" width="11.44140625" style="32" customWidth="1"/>
    <col min="15904" max="15904" width="12.44140625" style="32" customWidth="1"/>
    <col min="15905" max="15905" width="10.5546875" style="32" customWidth="1"/>
    <col min="15906" max="15906" width="19" style="32" customWidth="1"/>
    <col min="15907" max="15907" width="13.44140625" style="32" customWidth="1"/>
    <col min="15908" max="15908" width="18" style="32" customWidth="1"/>
    <col min="15909" max="15909" width="42.44140625" style="32" customWidth="1"/>
    <col min="15910" max="15910" width="31" style="32" customWidth="1"/>
    <col min="15911" max="15911" width="35" style="32" customWidth="1"/>
    <col min="15912" max="15912" width="31" style="32" customWidth="1"/>
    <col min="15913" max="15913" width="35" style="32" customWidth="1"/>
    <col min="15914" max="15914" width="31" style="32" customWidth="1"/>
    <col min="15915" max="15915" width="37.44140625" style="32" customWidth="1"/>
    <col min="15916" max="15916" width="11.44140625" style="32" customWidth="1"/>
    <col min="15917" max="15917" width="54" style="32" customWidth="1"/>
    <col min="15918" max="15918" width="43.5546875" style="32" customWidth="1"/>
    <col min="15919" max="15919" width="44.5546875" style="32" customWidth="1"/>
    <col min="15920" max="16129" width="6.5546875" style="32"/>
    <col min="16130" max="16131" width="2.44140625" style="32" customWidth="1"/>
    <col min="16132" max="16132" width="11.5546875" style="32" hidden="1" customWidth="1"/>
    <col min="16133" max="16135" width="12.44140625" style="32" customWidth="1"/>
    <col min="16136" max="16136" width="12" style="32" customWidth="1"/>
    <col min="16137" max="16137" width="12.44140625" style="32" customWidth="1"/>
    <col min="16138" max="16138" width="13.44140625" style="32" customWidth="1"/>
    <col min="16139" max="16139" width="11.5546875" style="32" hidden="1" customWidth="1"/>
    <col min="16140" max="16142" width="13" style="32" customWidth="1"/>
    <col min="16143" max="16143" width="14.5546875" style="32" customWidth="1"/>
    <col min="16144" max="16145" width="13.44140625" style="32" customWidth="1"/>
    <col min="16146" max="16146" width="2.44140625" style="32" customWidth="1"/>
    <col min="16147" max="16147" width="13.44140625" style="32" customWidth="1"/>
    <col min="16148" max="16148" width="10.5546875" style="32" customWidth="1"/>
    <col min="16149" max="16149" width="12" style="32" customWidth="1"/>
    <col min="16150" max="16150" width="11.44140625" style="32" customWidth="1"/>
    <col min="16151" max="16151" width="16" style="32" customWidth="1"/>
    <col min="16152" max="16153" width="10.5546875" style="32" customWidth="1"/>
    <col min="16154" max="16154" width="15.5546875" style="32" customWidth="1"/>
    <col min="16155" max="16155" width="11.44140625" style="32" customWidth="1"/>
    <col min="16156" max="16156" width="12" style="32" customWidth="1"/>
    <col min="16157" max="16157" width="11.44140625" style="32" customWidth="1"/>
    <col min="16158" max="16158" width="12" style="32" customWidth="1"/>
    <col min="16159" max="16159" width="11.44140625" style="32" customWidth="1"/>
    <col min="16160" max="16160" width="12.44140625" style="32" customWidth="1"/>
    <col min="16161" max="16161" width="10.5546875" style="32" customWidth="1"/>
    <col min="16162" max="16162" width="19" style="32" customWidth="1"/>
    <col min="16163" max="16163" width="13.44140625" style="32" customWidth="1"/>
    <col min="16164" max="16164" width="18" style="32" customWidth="1"/>
    <col min="16165" max="16165" width="42.44140625" style="32" customWidth="1"/>
    <col min="16166" max="16166" width="31" style="32" customWidth="1"/>
    <col min="16167" max="16167" width="35" style="32" customWidth="1"/>
    <col min="16168" max="16168" width="31" style="32" customWidth="1"/>
    <col min="16169" max="16169" width="35" style="32" customWidth="1"/>
    <col min="16170" max="16170" width="31" style="32" customWidth="1"/>
    <col min="16171" max="16171" width="37.44140625" style="32" customWidth="1"/>
    <col min="16172" max="16172" width="11.44140625" style="32" customWidth="1"/>
    <col min="16173" max="16173" width="54" style="32" customWidth="1"/>
    <col min="16174" max="16174" width="43.5546875" style="32" customWidth="1"/>
    <col min="16175" max="16175" width="44.5546875" style="32" customWidth="1"/>
  </cols>
  <sheetData>
    <row r="2" spans="2:20" ht="14.4">
      <c r="B2" s="33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5"/>
      <c r="Q2" s="35"/>
      <c r="R2" s="36"/>
    </row>
    <row r="3" spans="2:20" ht="15" customHeight="1">
      <c r="B3" s="37"/>
      <c r="C3" s="38"/>
      <c r="D3" s="2"/>
      <c r="E3" s="2"/>
      <c r="F3" s="1" t="s">
        <v>64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9"/>
    </row>
    <row r="4" spans="2:20" ht="14.4">
      <c r="B4" s="37"/>
      <c r="C4" s="38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9"/>
    </row>
    <row r="5" spans="2:20" ht="15" customHeight="1">
      <c r="B5" s="37"/>
      <c r="C5" s="38"/>
      <c r="D5" s="2"/>
      <c r="E5" s="2"/>
      <c r="F5" s="226" t="s">
        <v>65</v>
      </c>
      <c r="G5" s="226"/>
      <c r="H5" s="226"/>
      <c r="I5" s="226"/>
      <c r="J5" s="226"/>
      <c r="K5" s="226"/>
      <c r="L5" s="226"/>
      <c r="M5" s="226" t="s">
        <v>66</v>
      </c>
      <c r="N5" s="226"/>
      <c r="O5" s="41"/>
      <c r="P5" s="262">
        <f ca="1">TODAY()-2</f>
        <v>46280</v>
      </c>
      <c r="Q5" s="262"/>
      <c r="R5" s="39"/>
    </row>
    <row r="6" spans="2:20" ht="15.6">
      <c r="B6" s="37"/>
      <c r="C6" s="38"/>
      <c r="D6" s="2"/>
      <c r="E6" s="2"/>
      <c r="F6" s="226"/>
      <c r="G6" s="226"/>
      <c r="H6" s="226"/>
      <c r="I6" s="226"/>
      <c r="J6" s="226"/>
      <c r="K6" s="226"/>
      <c r="L6" s="226"/>
      <c r="M6" s="226"/>
      <c r="N6" s="226"/>
      <c r="O6" s="40"/>
      <c r="P6" s="262"/>
      <c r="Q6" s="262"/>
      <c r="R6" s="39"/>
    </row>
    <row r="7" spans="2:20" ht="14.4">
      <c r="B7" s="37"/>
      <c r="C7" s="38"/>
      <c r="D7" s="42"/>
      <c r="E7" s="42"/>
      <c r="F7" s="42"/>
      <c r="G7" s="42"/>
      <c r="H7" s="42"/>
      <c r="I7" s="42"/>
      <c r="J7" s="42"/>
      <c r="K7" s="42"/>
      <c r="L7" s="42"/>
      <c r="M7" s="43"/>
      <c r="N7" s="38"/>
      <c r="O7" s="38"/>
      <c r="R7" s="39"/>
    </row>
    <row r="8" spans="2:20" ht="15" customHeight="1">
      <c r="B8" s="44"/>
      <c r="C8" s="45"/>
      <c r="D8" s="227"/>
      <c r="E8" s="227"/>
      <c r="F8" s="227"/>
      <c r="G8" s="228" t="s">
        <v>67</v>
      </c>
      <c r="H8" s="228"/>
      <c r="I8" s="46" t="s">
        <v>68</v>
      </c>
      <c r="J8" s="47" t="s">
        <v>69</v>
      </c>
      <c r="K8" s="229"/>
      <c r="L8" s="229"/>
      <c r="M8" s="229"/>
      <c r="N8" s="228" t="s">
        <v>67</v>
      </c>
      <c r="O8" s="228"/>
      <c r="P8" s="46" t="s">
        <v>68</v>
      </c>
      <c r="Q8" s="47" t="s">
        <v>69</v>
      </c>
      <c r="R8" s="39"/>
    </row>
    <row r="9" spans="2:20" ht="14.4">
      <c r="B9" s="44"/>
      <c r="C9" s="45"/>
      <c r="D9" s="227"/>
      <c r="E9" s="227"/>
      <c r="F9" s="227"/>
      <c r="G9" s="48" t="s">
        <v>13</v>
      </c>
      <c r="H9" s="48" t="s">
        <v>12</v>
      </c>
      <c r="I9" s="48" t="s">
        <v>70</v>
      </c>
      <c r="J9" s="49" t="s">
        <v>15</v>
      </c>
      <c r="K9" s="229"/>
      <c r="L9" s="229"/>
      <c r="M9" s="229"/>
      <c r="N9" s="48" t="s">
        <v>13</v>
      </c>
      <c r="O9" s="48" t="s">
        <v>12</v>
      </c>
      <c r="P9" s="48" t="s">
        <v>70</v>
      </c>
      <c r="Q9" s="49" t="s">
        <v>15</v>
      </c>
      <c r="R9" s="39"/>
    </row>
    <row r="10" spans="2:20" ht="14.4">
      <c r="B10" s="44"/>
      <c r="C10" s="45"/>
      <c r="D10" s="230" t="s">
        <v>28</v>
      </c>
      <c r="E10" s="230"/>
      <c r="F10" s="230"/>
      <c r="G10" s="230"/>
      <c r="H10" s="230"/>
      <c r="I10" s="230"/>
      <c r="J10" s="230"/>
      <c r="K10" s="231" t="s">
        <v>71</v>
      </c>
      <c r="L10" s="231"/>
      <c r="M10" s="231"/>
      <c r="N10" s="231"/>
      <c r="O10" s="231"/>
      <c r="P10" s="231"/>
      <c r="Q10" s="231"/>
      <c r="R10" s="39"/>
    </row>
    <row r="11" spans="2:20" ht="14.4">
      <c r="B11" s="44"/>
      <c r="C11" s="45" t="s">
        <v>72</v>
      </c>
      <c r="D11" s="232" t="s">
        <v>73</v>
      </c>
      <c r="E11" s="232"/>
      <c r="F11" s="232"/>
      <c r="G11" s="50">
        <f>Flujos!G4</f>
        <v>84594</v>
      </c>
      <c r="H11" s="50">
        <f>G11/(1-'Datos Extra'!D18)</f>
        <v>84594</v>
      </c>
      <c r="I11" s="51">
        <f>Flujos!H4</f>
        <v>0.2685050933</v>
      </c>
      <c r="J11" s="52">
        <f>+I11*G11</f>
        <v>22713.919862620201</v>
      </c>
      <c r="K11" s="233" t="s">
        <v>74</v>
      </c>
      <c r="L11" s="233"/>
      <c r="M11" s="233"/>
      <c r="N11" s="53">
        <f>Flujos!G20</f>
        <v>57667</v>
      </c>
      <c r="O11" s="53">
        <f>N11/(1-'Datos Extra'!D28)</f>
        <v>63191.172280786348</v>
      </c>
      <c r="P11" s="54">
        <f>Flujos!H20</f>
        <v>0.6472</v>
      </c>
      <c r="Q11" s="53">
        <f>+P11*N11</f>
        <v>37322.082399999999</v>
      </c>
      <c r="R11" s="39"/>
      <c r="T11" s="55"/>
    </row>
    <row r="12" spans="2:20" ht="14.4">
      <c r="B12" s="44"/>
      <c r="C12" s="45"/>
      <c r="D12" s="233" t="s">
        <v>75</v>
      </c>
      <c r="E12" s="233"/>
      <c r="F12" s="233"/>
      <c r="G12" s="56">
        <f>Flujos!G5</f>
        <v>0</v>
      </c>
      <c r="H12" s="56">
        <f>G12/(1-'Datos Extra'!D19)</f>
        <v>0</v>
      </c>
      <c r="I12" s="57">
        <f>Flujos!H5</f>
        <v>0</v>
      </c>
      <c r="J12" s="56">
        <f>+I12*G12</f>
        <v>0</v>
      </c>
      <c r="K12" s="231" t="s">
        <v>76</v>
      </c>
      <c r="L12" s="231"/>
      <c r="M12" s="231"/>
      <c r="N12" s="231"/>
      <c r="O12" s="231"/>
      <c r="P12" s="231"/>
      <c r="Q12" s="231"/>
      <c r="R12" s="39"/>
      <c r="T12" s="55"/>
    </row>
    <row r="13" spans="2:20" ht="14.4">
      <c r="B13" s="44"/>
      <c r="C13" s="45"/>
      <c r="D13" s="232" t="s">
        <v>77</v>
      </c>
      <c r="E13" s="232"/>
      <c r="F13" s="232"/>
      <c r="G13" s="50">
        <f>Flujos!G8</f>
        <v>8985</v>
      </c>
      <c r="H13" s="50">
        <f>G13/(1-'Datos Extra'!D20)</f>
        <v>9019.9258753348549</v>
      </c>
      <c r="I13" s="58">
        <f>Flujos!H8</f>
        <v>0.47560000000000002</v>
      </c>
      <c r="J13" s="50">
        <f>+I13*G13</f>
        <v>4273.2660000000005</v>
      </c>
      <c r="K13" s="234" t="s">
        <v>78</v>
      </c>
      <c r="L13" s="234"/>
      <c r="M13" s="234"/>
      <c r="N13" s="50">
        <f>Flujos!G6</f>
        <v>28540</v>
      </c>
      <c r="O13" s="50">
        <f>N13*1/(1-'Datos Extra'!D35)</f>
        <v>31510.49429741755</v>
      </c>
      <c r="P13" s="51">
        <f>Flujos!H6</f>
        <v>0.13664454575000001</v>
      </c>
      <c r="Q13" s="50">
        <f>+P13*N13</f>
        <v>3899.8353357050005</v>
      </c>
      <c r="R13" s="39"/>
    </row>
    <row r="14" spans="2:20" ht="14.4">
      <c r="B14" s="44"/>
      <c r="C14" s="45"/>
      <c r="D14" s="233" t="s">
        <v>79</v>
      </c>
      <c r="E14" s="233"/>
      <c r="F14" s="233"/>
      <c r="G14" s="56">
        <f>Flujos!G55</f>
        <v>38885</v>
      </c>
      <c r="H14" s="56">
        <f>G14/(1-'Datos Extra'!D21)</f>
        <v>40149.883922574692</v>
      </c>
      <c r="I14" s="59">
        <f>Flujos!H55</f>
        <v>0.45810000000000001</v>
      </c>
      <c r="J14" s="56">
        <f>+I14*G14</f>
        <v>17813.218499999999</v>
      </c>
      <c r="K14" s="235" t="s">
        <v>80</v>
      </c>
      <c r="L14" s="235"/>
      <c r="M14" s="235"/>
      <c r="N14" s="60">
        <f>Flujos!G12</f>
        <v>10522.695793999999</v>
      </c>
      <c r="O14" s="60">
        <f>N14/(1-'Datos Extra'!D36)</f>
        <v>11197.692710594645</v>
      </c>
      <c r="P14" s="54">
        <f>Flujos!H12</f>
        <v>0.22467656641</v>
      </c>
      <c r="Q14" s="56">
        <f>+P14*N14</f>
        <v>2364.2031603728688</v>
      </c>
      <c r="R14" s="39"/>
    </row>
    <row r="15" spans="2:20" ht="14.4">
      <c r="B15" s="44"/>
      <c r="C15" s="45"/>
      <c r="D15" s="232" t="s">
        <v>81</v>
      </c>
      <c r="E15" s="232"/>
      <c r="F15" s="232"/>
      <c r="G15" s="50">
        <f>Flujos!G31</f>
        <v>0</v>
      </c>
      <c r="H15" s="50">
        <f>G15*'Datos Extra'!D22+Report!G15</f>
        <v>0</v>
      </c>
      <c r="I15" s="58">
        <f>Flujos!H31</f>
        <v>0</v>
      </c>
      <c r="J15" s="50">
        <f>+I15*G15</f>
        <v>0</v>
      </c>
      <c r="K15" s="234" t="s">
        <v>82</v>
      </c>
      <c r="L15" s="234"/>
      <c r="M15" s="234"/>
      <c r="N15" s="61">
        <f>Flujos!G13</f>
        <v>6698.3042057000002</v>
      </c>
      <c r="O15" s="50"/>
      <c r="P15" s="62">
        <f>Flujos!H13</f>
        <v>0.10987340284</v>
      </c>
      <c r="Q15" s="50">
        <f>+P15*N15</f>
        <v>735.9654763377423</v>
      </c>
      <c r="R15" s="39"/>
    </row>
    <row r="16" spans="2:20" ht="14.4">
      <c r="B16" s="44"/>
      <c r="C16" s="45"/>
      <c r="D16" s="233"/>
      <c r="E16" s="233"/>
      <c r="F16" s="233"/>
      <c r="G16" s="56"/>
      <c r="H16" s="56"/>
      <c r="I16" s="57"/>
      <c r="J16" s="56"/>
      <c r="K16" s="235" t="s">
        <v>83</v>
      </c>
      <c r="L16" s="235"/>
      <c r="M16" s="235"/>
      <c r="N16" s="60">
        <f>Flujos!G19</f>
        <v>38863</v>
      </c>
      <c r="O16" s="60"/>
      <c r="P16" s="54">
        <f>Flujos!H19</f>
        <v>0.11596560113000001</v>
      </c>
      <c r="Q16" s="56">
        <f>+P16*N16</f>
        <v>4506.77115671519</v>
      </c>
      <c r="R16" s="39"/>
    </row>
    <row r="17" spans="2:20" ht="14.4">
      <c r="B17" s="44"/>
      <c r="C17" s="45"/>
      <c r="D17" s="232"/>
      <c r="E17" s="232"/>
      <c r="F17" s="232"/>
      <c r="G17" s="50"/>
      <c r="H17" s="50"/>
      <c r="I17" s="58"/>
      <c r="J17" s="50"/>
      <c r="K17" s="234"/>
      <c r="L17" s="234"/>
      <c r="M17" s="234"/>
      <c r="N17" s="61"/>
      <c r="O17" s="50"/>
      <c r="P17" s="62"/>
      <c r="Q17" s="50"/>
      <c r="R17" s="39"/>
    </row>
    <row r="18" spans="2:20" ht="14.4">
      <c r="B18" s="44"/>
      <c r="C18" s="45"/>
      <c r="D18" s="233"/>
      <c r="E18" s="233"/>
      <c r="F18" s="233"/>
      <c r="G18" s="56"/>
      <c r="H18" s="56"/>
      <c r="I18" s="57"/>
      <c r="J18" s="56"/>
      <c r="K18" s="235"/>
      <c r="L18" s="235"/>
      <c r="M18" s="235"/>
      <c r="N18" s="60"/>
      <c r="O18" s="60"/>
      <c r="P18" s="54"/>
      <c r="Q18" s="56"/>
      <c r="R18" s="39"/>
    </row>
    <row r="19" spans="2:20" ht="15" customHeight="1">
      <c r="B19" s="44"/>
      <c r="C19" s="45" t="s">
        <v>84</v>
      </c>
      <c r="D19" s="236" t="s">
        <v>63</v>
      </c>
      <c r="E19" s="236"/>
      <c r="F19" s="236"/>
      <c r="G19" s="63">
        <f>+SUM(G11:G15)</f>
        <v>132464</v>
      </c>
      <c r="H19" s="63">
        <f>+SUM(H11:H15)</f>
        <v>133763.80979790955</v>
      </c>
      <c r="I19" s="63"/>
      <c r="J19" s="63">
        <f>+SUM(J11:J15)</f>
        <v>44800.404362620204</v>
      </c>
      <c r="K19" s="236" t="s">
        <v>63</v>
      </c>
      <c r="L19" s="236"/>
      <c r="M19" s="236"/>
      <c r="N19" s="63">
        <f>+SUM(N13:N16)</f>
        <v>84623.999999699998</v>
      </c>
      <c r="O19" s="63">
        <f>+SUM(O13:O16)</f>
        <v>42708.187008012195</v>
      </c>
      <c r="P19" s="63"/>
      <c r="Q19" s="64">
        <f>+SUM(Q13:Q16)</f>
        <v>11506.775129130801</v>
      </c>
      <c r="R19" s="39"/>
      <c r="S19" s="65"/>
      <c r="T19" s="66"/>
    </row>
    <row r="20" spans="2:20" ht="14.4">
      <c r="B20" s="44"/>
      <c r="C20" s="45"/>
      <c r="D20" s="237" t="s">
        <v>85</v>
      </c>
      <c r="E20" s="237"/>
      <c r="F20" s="237"/>
      <c r="G20" s="237"/>
      <c r="H20" s="237"/>
      <c r="I20" s="237"/>
      <c r="J20" s="237"/>
      <c r="K20" s="231" t="s">
        <v>86</v>
      </c>
      <c r="L20" s="231"/>
      <c r="M20" s="231"/>
      <c r="N20" s="231"/>
      <c r="O20" s="231"/>
      <c r="P20" s="231"/>
      <c r="Q20" s="231"/>
      <c r="R20" s="39"/>
      <c r="S20" s="67"/>
    </row>
    <row r="21" spans="2:20" ht="14.4">
      <c r="B21" s="44"/>
      <c r="C21" s="45"/>
      <c r="D21" s="232" t="s">
        <v>34</v>
      </c>
      <c r="E21" s="232"/>
      <c r="F21" s="232"/>
      <c r="G21" s="68">
        <f>'Mapa de Procesos'!P102</f>
        <v>0</v>
      </c>
      <c r="H21" s="68">
        <f>G21/(1-'Datos Extra'!D23)</f>
        <v>0</v>
      </c>
      <c r="I21" s="69">
        <f>Flujos!H27</f>
        <v>0</v>
      </c>
      <c r="J21" s="50">
        <f>+I21*G21</f>
        <v>0</v>
      </c>
      <c r="K21" s="238" t="s">
        <v>33</v>
      </c>
      <c r="L21" s="238"/>
      <c r="M21" s="238"/>
      <c r="N21" s="50">
        <f>Flujos!G25</f>
        <v>66563</v>
      </c>
      <c r="O21" s="50">
        <f>N21/(1-'Datos Extra'!D27)</f>
        <v>72939.35874115146</v>
      </c>
      <c r="P21" s="51">
        <f>Flujos!H25</f>
        <v>0.64721222532</v>
      </c>
      <c r="Q21" s="50">
        <f t="shared" ref="Q21:Q30" si="0">+P21*N21</f>
        <v>43080.387353975158</v>
      </c>
      <c r="R21" s="39"/>
      <c r="S21" s="70"/>
    </row>
    <row r="22" spans="2:20" ht="14.4">
      <c r="B22" s="44"/>
      <c r="C22" s="45"/>
      <c r="D22" s="233" t="s">
        <v>38</v>
      </c>
      <c r="E22" s="233"/>
      <c r="F22" s="233"/>
      <c r="G22" s="71">
        <f>Flujos!G33</f>
        <v>0</v>
      </c>
      <c r="H22" s="71">
        <f>G22/(1-'Datos Extra'!D24)</f>
        <v>0</v>
      </c>
      <c r="I22" s="72">
        <f>Flujos!H33</f>
        <v>0</v>
      </c>
      <c r="J22" s="56">
        <f>+I22*G22</f>
        <v>0</v>
      </c>
      <c r="K22" s="73" t="s">
        <v>37</v>
      </c>
      <c r="L22" s="74"/>
      <c r="M22" s="75"/>
      <c r="N22" s="53">
        <f>Flujos!G35</f>
        <v>0</v>
      </c>
      <c r="O22" s="53">
        <f>N22/(1-'Datos Extra'!D30)</f>
        <v>0</v>
      </c>
      <c r="P22" s="57">
        <f>Flujos!H35</f>
        <v>0</v>
      </c>
      <c r="Q22" s="53">
        <f t="shared" si="0"/>
        <v>0</v>
      </c>
      <c r="R22" s="39"/>
      <c r="S22" s="70"/>
    </row>
    <row r="23" spans="2:20" ht="14.4">
      <c r="B23" s="44"/>
      <c r="C23" s="45"/>
      <c r="D23" s="232" t="s">
        <v>42</v>
      </c>
      <c r="E23" s="232"/>
      <c r="F23" s="232"/>
      <c r="G23" s="68">
        <f>Flujos!G40</f>
        <v>0</v>
      </c>
      <c r="H23" s="68">
        <f>G23/(1-'Datos Extra'!D25)</f>
        <v>0</v>
      </c>
      <c r="I23" s="76">
        <f>Flujos!H40</f>
        <v>0</v>
      </c>
      <c r="J23" s="50">
        <f>+I23*G23</f>
        <v>0</v>
      </c>
      <c r="K23" s="77" t="s">
        <v>41</v>
      </c>
      <c r="L23" s="78"/>
      <c r="M23" s="79"/>
      <c r="N23" s="50">
        <f>Flujos!G36</f>
        <v>0</v>
      </c>
      <c r="O23" s="50">
        <f>N23/(1-'Datos Extra'!D31)</f>
        <v>0</v>
      </c>
      <c r="P23" s="58">
        <f>Flujos!H36</f>
        <v>0</v>
      </c>
      <c r="Q23" s="50">
        <f t="shared" si="0"/>
        <v>0</v>
      </c>
      <c r="R23" s="39"/>
      <c r="S23" s="70"/>
    </row>
    <row r="24" spans="2:20" ht="14.4">
      <c r="B24" s="44"/>
      <c r="C24" s="45"/>
      <c r="D24" s="233" t="s">
        <v>46</v>
      </c>
      <c r="E24" s="233"/>
      <c r="F24" s="233"/>
      <c r="G24" s="71">
        <f>Flujos!G58</f>
        <v>57</v>
      </c>
      <c r="H24" s="71">
        <f>G24/(1-'Datos Extra'!D41)</f>
        <v>57.956278596847987</v>
      </c>
      <c r="I24" s="72">
        <f>Flujos!H58</f>
        <v>0.6472</v>
      </c>
      <c r="J24" s="56">
        <f>G24*I24</f>
        <v>36.8904</v>
      </c>
      <c r="K24" s="73" t="s">
        <v>45</v>
      </c>
      <c r="L24" s="74"/>
      <c r="M24" s="75"/>
      <c r="N24" s="53">
        <f>Flujos!G57</f>
        <v>2198</v>
      </c>
      <c r="O24" s="53">
        <f>N24/(1-'Datos Extra'!D39)</f>
        <v>2219.0812720848057</v>
      </c>
      <c r="P24" s="80">
        <f>Flujos!H57</f>
        <v>0.62729999999999997</v>
      </c>
      <c r="Q24" s="53">
        <f t="shared" si="0"/>
        <v>1378.8054</v>
      </c>
      <c r="R24" s="39"/>
      <c r="S24" s="70"/>
    </row>
    <row r="25" spans="2:20" ht="14.4">
      <c r="B25" s="44"/>
      <c r="C25" s="45"/>
      <c r="D25" s="232" t="s">
        <v>49</v>
      </c>
      <c r="E25" s="232"/>
      <c r="F25" s="232"/>
      <c r="G25" s="68">
        <f>Flujos!G68</f>
        <v>0</v>
      </c>
      <c r="H25" s="68">
        <f>G25/(1-'Datos Extra'!D41)</f>
        <v>0</v>
      </c>
      <c r="I25" s="76">
        <f>Flujos!H68</f>
        <v>0</v>
      </c>
      <c r="J25" s="50">
        <f>G25*I25</f>
        <v>0</v>
      </c>
      <c r="K25" s="77" t="s">
        <v>48</v>
      </c>
      <c r="L25" s="78"/>
      <c r="M25" s="79"/>
      <c r="N25" s="50">
        <f>Flujos!G60</f>
        <v>1643</v>
      </c>
      <c r="O25" s="50">
        <f>N25/(1-'Datos Extra'!D40)</f>
        <v>1660.7702415849592</v>
      </c>
      <c r="P25" s="51">
        <f>Flujos!H60</f>
        <v>0.61599999999999999</v>
      </c>
      <c r="Q25" s="50">
        <f t="shared" si="0"/>
        <v>1012.088</v>
      </c>
      <c r="R25" s="39"/>
      <c r="S25" s="67"/>
    </row>
    <row r="26" spans="2:20" ht="14.4">
      <c r="B26" s="44"/>
      <c r="C26" s="45"/>
      <c r="D26" s="77"/>
      <c r="E26" s="78"/>
      <c r="F26" s="79"/>
      <c r="G26" s="68"/>
      <c r="H26" s="68"/>
      <c r="I26" s="76"/>
      <c r="J26" s="50"/>
      <c r="K26" s="73" t="s">
        <v>50</v>
      </c>
      <c r="L26" s="74"/>
      <c r="M26" s="75"/>
      <c r="N26" s="53">
        <f>Flujos!G66</f>
        <v>385</v>
      </c>
      <c r="O26" s="53">
        <f>N26/(1-'Datos Extra'!D42)</f>
        <v>387.16814159292039</v>
      </c>
      <c r="P26" s="80">
        <f>Flujos!H66</f>
        <v>0.62829999999999997</v>
      </c>
      <c r="Q26" s="53">
        <f t="shared" si="0"/>
        <v>241.8955</v>
      </c>
      <c r="R26" s="39"/>
      <c r="S26" s="67"/>
    </row>
    <row r="27" spans="2:20" ht="14.4">
      <c r="B27" s="44"/>
      <c r="C27" s="45"/>
      <c r="D27" s="77"/>
      <c r="E27" s="78"/>
      <c r="F27" s="79"/>
      <c r="G27" s="68"/>
      <c r="H27" s="68"/>
      <c r="I27" s="76"/>
      <c r="J27" s="50"/>
      <c r="K27" s="77" t="s">
        <v>51</v>
      </c>
      <c r="L27" s="78"/>
      <c r="M27" s="79"/>
      <c r="N27" s="50">
        <f>Flujos!G67</f>
        <v>358</v>
      </c>
      <c r="O27" s="50">
        <f>N27/(1-'Datos Extra'!D43)</f>
        <v>360.37849808737673</v>
      </c>
      <c r="P27" s="51">
        <f>Flujos!H67</f>
        <v>0.61520000000000008</v>
      </c>
      <c r="Q27" s="50">
        <f t="shared" si="0"/>
        <v>220.24160000000003</v>
      </c>
      <c r="R27" s="39"/>
      <c r="S27" s="67"/>
    </row>
    <row r="28" spans="2:20" ht="14.4">
      <c r="B28" s="44"/>
      <c r="C28" s="45"/>
      <c r="D28" s="77"/>
      <c r="E28" s="78"/>
      <c r="F28" s="79"/>
      <c r="G28" s="68"/>
      <c r="H28" s="68"/>
      <c r="I28" s="76"/>
      <c r="J28" s="50"/>
      <c r="K28" s="73" t="s">
        <v>49</v>
      </c>
      <c r="L28" s="74"/>
      <c r="M28" s="75"/>
      <c r="N28" s="53">
        <f>Flujos!G65</f>
        <v>1332</v>
      </c>
      <c r="O28" s="53">
        <f>N28/(1-'Datos Extra'!D41)</f>
        <v>1354.3467208947636</v>
      </c>
      <c r="P28" s="80">
        <f>Flujos!H65</f>
        <v>0.53029999999999999</v>
      </c>
      <c r="Q28" s="53">
        <f t="shared" si="0"/>
        <v>706.3596</v>
      </c>
      <c r="R28" s="39"/>
      <c r="S28" s="67"/>
    </row>
    <row r="29" spans="2:20" ht="14.4">
      <c r="B29" s="44"/>
      <c r="C29" s="45"/>
      <c r="D29" s="77"/>
      <c r="E29" s="78"/>
      <c r="F29" s="79"/>
      <c r="G29" s="68"/>
      <c r="H29" s="68"/>
      <c r="I29" s="76"/>
      <c r="J29" s="50"/>
      <c r="K29" s="73" t="s">
        <v>87</v>
      </c>
      <c r="L29" s="74"/>
      <c r="M29" s="75"/>
      <c r="N29" s="53">
        <f>Flujos!G37</f>
        <v>0</v>
      </c>
      <c r="O29" s="53">
        <f>N29/(1-'Datos Extra'!D33)</f>
        <v>0</v>
      </c>
      <c r="P29" s="81">
        <f>Flujos!H37</f>
        <v>0</v>
      </c>
      <c r="Q29" s="53">
        <f t="shared" si="0"/>
        <v>0</v>
      </c>
      <c r="R29" s="39"/>
      <c r="S29" s="67"/>
    </row>
    <row r="30" spans="2:20" ht="14.4">
      <c r="B30" s="44"/>
      <c r="C30" s="45"/>
      <c r="D30" s="233"/>
      <c r="E30" s="233"/>
      <c r="F30" s="233"/>
      <c r="G30" s="71"/>
      <c r="H30" s="71"/>
      <c r="I30" s="72"/>
      <c r="J30" s="56"/>
      <c r="K30" s="77" t="s">
        <v>88</v>
      </c>
      <c r="L30" s="78"/>
      <c r="M30" s="79"/>
      <c r="N30" s="50">
        <f>Flujos!G38</f>
        <v>0</v>
      </c>
      <c r="O30" s="50">
        <f>N30/(1-'Datos Extra'!D34)</f>
        <v>0</v>
      </c>
      <c r="P30" s="58">
        <f>Flujos!H38</f>
        <v>0</v>
      </c>
      <c r="Q30" s="50">
        <f t="shared" si="0"/>
        <v>0</v>
      </c>
      <c r="R30" s="39"/>
    </row>
    <row r="31" spans="2:20" ht="14.4">
      <c r="B31" s="44"/>
      <c r="C31" s="45"/>
      <c r="D31" s="232"/>
      <c r="E31" s="232"/>
      <c r="F31" s="232"/>
      <c r="G31" s="68"/>
      <c r="H31" s="68"/>
      <c r="I31" s="76"/>
      <c r="J31" s="50"/>
      <c r="R31" s="39"/>
      <c r="S31" s="70"/>
    </row>
    <row r="32" spans="2:20" ht="15" customHeight="1">
      <c r="B32" s="44"/>
      <c r="C32" s="45"/>
      <c r="D32" s="236" t="s">
        <v>63</v>
      </c>
      <c r="E32" s="236"/>
      <c r="F32" s="236"/>
      <c r="G32" s="63">
        <f>+SUM(G21:G24)</f>
        <v>57</v>
      </c>
      <c r="H32" s="63">
        <f>+SUM(H21:H24)</f>
        <v>57.956278596847987</v>
      </c>
      <c r="I32" s="82"/>
      <c r="J32" s="63">
        <f>+SUM(J21:J25)</f>
        <v>36.8904</v>
      </c>
      <c r="K32" s="236" t="s">
        <v>63</v>
      </c>
      <c r="L32" s="236"/>
      <c r="M32" s="236"/>
      <c r="N32" s="63">
        <f>SUM(N21:N30)</f>
        <v>72479</v>
      </c>
      <c r="O32" s="63">
        <f>SUM(O21:O30)</f>
        <v>78921.103615396292</v>
      </c>
      <c r="P32" s="63"/>
      <c r="Q32" s="64">
        <f>SUM(Q21:Q30)</f>
        <v>46639.777453975163</v>
      </c>
      <c r="R32" s="39"/>
      <c r="S32" s="70"/>
    </row>
    <row r="33" spans="2:21" ht="14.4">
      <c r="B33" s="44"/>
      <c r="C33" s="45"/>
      <c r="D33" s="83"/>
      <c r="E33" s="83"/>
      <c r="F33" s="83"/>
      <c r="G33" s="84"/>
      <c r="H33" s="84"/>
      <c r="I33" s="85"/>
      <c r="J33" s="86"/>
      <c r="K33" s="87"/>
      <c r="L33" s="87"/>
      <c r="M33" s="87"/>
      <c r="N33" s="87"/>
      <c r="O33" s="87"/>
      <c r="P33" s="87"/>
      <c r="Q33" s="87"/>
      <c r="R33" s="88"/>
      <c r="S33" s="70"/>
    </row>
    <row r="34" spans="2:21" ht="14.25" customHeight="1">
      <c r="B34" s="44"/>
      <c r="C34" s="45"/>
      <c r="D34" s="239" t="s">
        <v>27</v>
      </c>
      <c r="E34" s="239"/>
      <c r="F34" s="239"/>
      <c r="G34" s="239"/>
      <c r="H34" s="239"/>
      <c r="K34" s="87"/>
      <c r="L34" s="87"/>
      <c r="M34" s="87"/>
      <c r="N34" s="87"/>
      <c r="O34" s="87"/>
      <c r="P34" s="87"/>
      <c r="Q34" s="87"/>
      <c r="R34" s="89"/>
    </row>
    <row r="35" spans="2:21" ht="14.4">
      <c r="B35" s="44"/>
      <c r="C35" s="45"/>
      <c r="D35" s="240"/>
      <c r="E35" s="240"/>
      <c r="F35" s="240"/>
      <c r="G35" s="90" t="s">
        <v>13</v>
      </c>
      <c r="H35" s="91" t="s">
        <v>12</v>
      </c>
      <c r="I35" s="92" t="s">
        <v>89</v>
      </c>
      <c r="J35" s="92" t="s">
        <v>90</v>
      </c>
      <c r="K35" s="87"/>
      <c r="L35" s="87"/>
      <c r="M35" s="87"/>
      <c r="N35" s="87"/>
      <c r="O35" s="87"/>
      <c r="P35" s="87"/>
      <c r="Q35" s="87"/>
      <c r="R35" s="88"/>
      <c r="U35" s="93"/>
    </row>
    <row r="36" spans="2:21" ht="14.4">
      <c r="B36" s="44"/>
      <c r="C36" s="45"/>
      <c r="D36" s="241" t="s">
        <v>32</v>
      </c>
      <c r="E36" s="241"/>
      <c r="F36" s="241"/>
      <c r="G36" s="94">
        <f>'Datos Extra'!B1</f>
        <v>33365.001688700373</v>
      </c>
      <c r="H36" s="95">
        <f>'Datos Extra'!B1/(1-'Datos Extra'!D1)</f>
        <v>33494.695833333295</v>
      </c>
      <c r="I36" s="96">
        <f>Flujos!G9</f>
        <v>-2486</v>
      </c>
      <c r="J36" s="96">
        <f>'Mapa de Procesos'!L128</f>
        <v>-901.60554772969999</v>
      </c>
      <c r="K36" s="87"/>
      <c r="L36" s="87"/>
      <c r="M36" s="87"/>
      <c r="N36" s="87"/>
      <c r="O36" s="87"/>
      <c r="P36" s="87"/>
      <c r="Q36" s="87"/>
      <c r="R36" s="89"/>
      <c r="U36" s="93"/>
    </row>
    <row r="37" spans="2:21" ht="14.4">
      <c r="B37" s="44"/>
      <c r="C37" s="45"/>
      <c r="D37" s="241" t="s">
        <v>36</v>
      </c>
      <c r="E37" s="241"/>
      <c r="F37" s="241"/>
      <c r="G37" s="97">
        <f>'Datos Extra'!B2</f>
        <v>21178.287657595647</v>
      </c>
      <c r="H37" s="98">
        <f>'Datos Extra'!B2/(1-'Datos Extra'!D2)</f>
        <v>22033.794333333328</v>
      </c>
      <c r="I37" s="96">
        <f>Flujos!G17</f>
        <v>-7341</v>
      </c>
      <c r="J37" s="96">
        <f>'Mapa de Procesos'!L129</f>
        <v>-3126.8476190852402</v>
      </c>
      <c r="K37" s="87"/>
      <c r="L37" s="87"/>
      <c r="M37" s="87" t="s">
        <v>28</v>
      </c>
      <c r="N37" s="87" t="s">
        <v>29</v>
      </c>
      <c r="O37" s="87" t="s">
        <v>91</v>
      </c>
      <c r="P37" s="87" t="s">
        <v>92</v>
      </c>
      <c r="Q37" s="87"/>
      <c r="R37" s="88"/>
      <c r="U37" s="93"/>
    </row>
    <row r="38" spans="2:21" ht="14.4">
      <c r="B38" s="44"/>
      <c r="C38" s="45"/>
      <c r="D38" s="241" t="s">
        <v>40</v>
      </c>
      <c r="E38" s="241"/>
      <c r="F38" s="241"/>
      <c r="G38" s="97">
        <f>'Datos Extra'!B3</f>
        <v>12349.755019166671</v>
      </c>
      <c r="H38" s="98">
        <f>'Datos Extra'!B3/(1-'Datos Extra'!D3)</f>
        <v>13532.791666666672</v>
      </c>
      <c r="I38" s="96">
        <f>Flujos!G21</f>
        <v>-10255</v>
      </c>
      <c r="J38" s="96">
        <f>'Mapa de Procesos'!L131</f>
        <v>-6637.2460448584507</v>
      </c>
      <c r="K38" s="87"/>
      <c r="L38" s="87" t="s">
        <v>13</v>
      </c>
      <c r="M38" s="99">
        <f>G19+SUM(N22:N30)</f>
        <v>138380</v>
      </c>
      <c r="N38" s="99">
        <f>G21+G22+G23+N19+G24+G25</f>
        <v>84680.999999699998</v>
      </c>
      <c r="O38" s="100">
        <f>I44</f>
        <v>52340</v>
      </c>
      <c r="P38" s="99">
        <f>M38-N38-O38</f>
        <v>1359.0000003000023</v>
      </c>
      <c r="Q38" s="87"/>
      <c r="R38" s="88"/>
      <c r="U38" s="93"/>
    </row>
    <row r="39" spans="2:21" ht="14.4">
      <c r="B39" s="44"/>
      <c r="C39" s="45"/>
      <c r="D39" s="241" t="s">
        <v>44</v>
      </c>
      <c r="E39" s="241"/>
      <c r="F39" s="241"/>
      <c r="G39" s="97">
        <f>'Datos Extra'!B4</f>
        <v>0</v>
      </c>
      <c r="H39" s="98">
        <f>'Datos Extra'!B4/(1-'Datos Extra'!D4)</f>
        <v>0</v>
      </c>
      <c r="I39" s="96">
        <f>Flujos!G31</f>
        <v>0</v>
      </c>
      <c r="J39" s="96">
        <f>'Mapa de Procesos'!L132</f>
        <v>0</v>
      </c>
      <c r="K39" s="87"/>
      <c r="L39" s="87" t="s">
        <v>15</v>
      </c>
      <c r="M39" s="99">
        <f>J19+SUM(Q22:Q30)</f>
        <v>48359.794462620201</v>
      </c>
      <c r="N39" s="99">
        <f>Q19+J21+J22+J23+J24</f>
        <v>11543.665529130802</v>
      </c>
      <c r="O39" s="101">
        <f>J44</f>
        <v>35937.187842438936</v>
      </c>
      <c r="P39" s="99">
        <f>M39-N39-O39</f>
        <v>878.94109105045936</v>
      </c>
      <c r="Q39" s="87"/>
      <c r="R39" s="89"/>
      <c r="U39" s="93"/>
    </row>
    <row r="40" spans="2:21" ht="14.4">
      <c r="B40" s="44"/>
      <c r="C40" s="45"/>
      <c r="D40" s="241" t="s">
        <v>93</v>
      </c>
      <c r="E40" s="241"/>
      <c r="F40" s="241"/>
      <c r="G40" s="97">
        <f>'Datos Extra'!B5</f>
        <v>87771.5154874</v>
      </c>
      <c r="H40" s="98">
        <f>'Datos Extra'!B5/(1-'Datos Extra'!D5)</f>
        <v>96179.53</v>
      </c>
      <c r="I40" s="96">
        <f>Flujos!G26</f>
        <v>66506</v>
      </c>
      <c r="J40" s="96">
        <f>'Mapa de Procesos'!L138</f>
        <v>43043.496954114802</v>
      </c>
      <c r="K40" s="87"/>
      <c r="L40" s="99"/>
      <c r="M40" s="87"/>
      <c r="N40" s="87"/>
      <c r="O40" s="87"/>
      <c r="P40" s="87"/>
      <c r="Q40" s="87"/>
      <c r="R40" s="88"/>
      <c r="U40" s="93"/>
    </row>
    <row r="41" spans="2:21" ht="14.4">
      <c r="B41" s="44"/>
      <c r="C41" s="45"/>
      <c r="D41" s="241" t="s">
        <v>94</v>
      </c>
      <c r="E41" s="241"/>
      <c r="F41" s="241"/>
      <c r="G41" s="97">
        <f>'Datos Extra'!B6</f>
        <v>13126.083711328334</v>
      </c>
      <c r="H41" s="98">
        <f>'Datos Extra'!B6/(1-'Datos Extra'!D6)</f>
        <v>13250.345434608946</v>
      </c>
      <c r="I41" s="96">
        <f>Flujos!G34</f>
        <v>4584</v>
      </c>
      <c r="J41" s="96">
        <f>'Mapa de Procesos'!L139</f>
        <v>2853.0304999975201</v>
      </c>
      <c r="K41" s="87"/>
      <c r="L41" s="87"/>
      <c r="M41" s="102"/>
      <c r="N41" s="87"/>
      <c r="O41" s="87"/>
      <c r="P41" s="87"/>
      <c r="Q41" s="87"/>
      <c r="R41" s="89"/>
      <c r="U41" s="93"/>
    </row>
    <row r="42" spans="2:21" ht="14.4">
      <c r="B42" s="44"/>
      <c r="C42" s="45"/>
      <c r="D42" s="242" t="s">
        <v>95</v>
      </c>
      <c r="E42" s="242"/>
      <c r="F42" s="242"/>
      <c r="G42" s="97">
        <f>'Datos Extra'!B7</f>
        <v>0</v>
      </c>
      <c r="H42" s="98">
        <f>'Datos Extra'!B7/(1-'Datos Extra'!D7)</f>
        <v>0</v>
      </c>
      <c r="I42" s="96">
        <f>Flujos!G39</f>
        <v>0</v>
      </c>
      <c r="J42" s="96">
        <f>'Mapa de Procesos'!L140</f>
        <v>0</v>
      </c>
      <c r="K42" s="87"/>
      <c r="L42" s="87"/>
      <c r="M42" s="87"/>
      <c r="N42" s="87"/>
      <c r="O42" s="87"/>
      <c r="P42" s="87"/>
      <c r="Q42" s="87"/>
      <c r="R42" s="88"/>
      <c r="U42" s="93"/>
    </row>
    <row r="43" spans="2:21" ht="14.4">
      <c r="B43" s="103"/>
      <c r="C43" s="104"/>
      <c r="D43" s="243" t="s">
        <v>96</v>
      </c>
      <c r="E43" s="243"/>
      <c r="F43" s="243"/>
      <c r="G43" s="105">
        <f>'Datos Extra'!B8</f>
        <v>1366.9568150000002</v>
      </c>
      <c r="H43" s="106">
        <f>'Datos Extra'!B8/(1-'Datos Extra'!D8)</f>
        <v>1389.89</v>
      </c>
      <c r="I43" s="107">
        <f>Flujos!G69</f>
        <v>1332</v>
      </c>
      <c r="J43" s="108">
        <f>'Mapa de Procesos'!L141</f>
        <v>706.3596</v>
      </c>
      <c r="K43" s="109"/>
      <c r="L43" s="109"/>
      <c r="M43" s="109"/>
      <c r="N43" s="109"/>
      <c r="O43" s="109"/>
      <c r="P43" s="109"/>
      <c r="Q43" s="109"/>
      <c r="R43" s="110"/>
    </row>
    <row r="44" spans="2:21" ht="15" customHeight="1">
      <c r="I44" s="111">
        <f>SUM(I36:I43)</f>
        <v>52340</v>
      </c>
      <c r="J44" s="111">
        <f>SUM(J36:J43)</f>
        <v>35937.187842438936</v>
      </c>
    </row>
    <row r="46" spans="2:21" ht="15" customHeight="1">
      <c r="E46" s="112"/>
      <c r="F46" s="112"/>
      <c r="I46" s="113"/>
      <c r="J46" s="113"/>
    </row>
    <row r="47" spans="2:21" ht="14.4">
      <c r="E47" s="112"/>
      <c r="F47" s="112"/>
      <c r="I47" s="113"/>
      <c r="J47" s="113"/>
    </row>
    <row r="48" spans="2:21" ht="14.4">
      <c r="E48" s="114"/>
      <c r="F48" s="114"/>
      <c r="I48" s="114"/>
      <c r="J48" s="114"/>
      <c r="K48" s="114"/>
    </row>
    <row r="49" spans="5:11" ht="15" customHeight="1">
      <c r="E49" s="115"/>
      <c r="F49" s="115"/>
      <c r="I49" s="84"/>
      <c r="J49" s="116"/>
      <c r="K49" s="55"/>
    </row>
  </sheetData>
  <mergeCells count="50">
    <mergeCell ref="D42:F42"/>
    <mergeCell ref="D43:F43"/>
    <mergeCell ref="D37:F37"/>
    <mergeCell ref="D38:F38"/>
    <mergeCell ref="D39:F39"/>
    <mergeCell ref="D40:F40"/>
    <mergeCell ref="D41:F41"/>
    <mergeCell ref="D32:F32"/>
    <mergeCell ref="K32:M32"/>
    <mergeCell ref="D34:H34"/>
    <mergeCell ref="D35:F35"/>
    <mergeCell ref="D36:F36"/>
    <mergeCell ref="D23:F23"/>
    <mergeCell ref="D24:F24"/>
    <mergeCell ref="D25:F25"/>
    <mergeCell ref="D30:F30"/>
    <mergeCell ref="D31:F31"/>
    <mergeCell ref="D20:J20"/>
    <mergeCell ref="K20:Q20"/>
    <mergeCell ref="D21:F21"/>
    <mergeCell ref="K21:M21"/>
    <mergeCell ref="D22:F22"/>
    <mergeCell ref="D17:F17"/>
    <mergeCell ref="K17:M17"/>
    <mergeCell ref="D18:F18"/>
    <mergeCell ref="K18:M18"/>
    <mergeCell ref="D19:F19"/>
    <mergeCell ref="K19:M19"/>
    <mergeCell ref="D14:F14"/>
    <mergeCell ref="K14:M14"/>
    <mergeCell ref="D15:F15"/>
    <mergeCell ref="K15:M15"/>
    <mergeCell ref="D16:F16"/>
    <mergeCell ref="K16:M16"/>
    <mergeCell ref="D11:F11"/>
    <mergeCell ref="K11:M11"/>
    <mergeCell ref="D12:F12"/>
    <mergeCell ref="K12:Q12"/>
    <mergeCell ref="D13:F13"/>
    <mergeCell ref="K13:M13"/>
    <mergeCell ref="D8:F9"/>
    <mergeCell ref="G8:H8"/>
    <mergeCell ref="K8:M9"/>
    <mergeCell ref="N8:O8"/>
    <mergeCell ref="D10:J10"/>
    <mergeCell ref="K10:Q10"/>
    <mergeCell ref="D3:E6"/>
    <mergeCell ref="F3:Q4"/>
    <mergeCell ref="F5:L6"/>
    <mergeCell ref="M5:N6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77"/>
  <sheetViews>
    <sheetView topLeftCell="A66" zoomScale="110" zoomScaleNormal="110" workbookViewId="0">
      <selection activeCellId="32" sqref="H24 H26 H28 J15 J41 L37:L41 N37:N41 Q15 Q24 Q26 Q28 W15 Z24 Z26 Z28 AA37:AA40 AC37:AC40 AI24 AI26 AI28 AO37:AO44 AQ37:AQ44 AR24 AR26 AR28 AS37:AS44 BG37:BG41 BH27:BH28 BI37:BI41 BK27:BK30 BK37:BK41 BN27:BN30 A1"/>
    </sheetView>
  </sheetViews>
  <sheetFormatPr baseColWidth="10" defaultColWidth="11.5546875" defaultRowHeight="15" customHeight="1" outlineLevelCol="1"/>
  <cols>
    <col min="1" max="1" width="33.109375" style="102" customWidth="1" outlineLevel="1"/>
    <col min="2" max="2" width="31.109375" style="102" customWidth="1" outlineLevel="1"/>
    <col min="3" max="3" width="30.77734375" style="102" customWidth="1" outlineLevel="1"/>
    <col min="4" max="4" width="16.44140625" style="102" customWidth="1" outlineLevel="1"/>
    <col min="5" max="5" width="15.109375" style="102" customWidth="1"/>
    <col min="6" max="6" width="60.77734375" style="102" customWidth="1"/>
    <col min="7" max="8" width="14" style="102" customWidth="1"/>
    <col min="9" max="9" width="27.109375" style="102" customWidth="1"/>
    <col min="10" max="12" width="14" style="102" customWidth="1"/>
    <col min="13" max="13" width="18.44140625" style="102" customWidth="1"/>
    <col min="14" max="16" width="14" style="102" customWidth="1"/>
    <col min="17" max="17" width="9.5546875" style="102" customWidth="1"/>
    <col min="18" max="18" width="14" style="102" customWidth="1"/>
    <col min="19" max="19" width="9.109375" style="102" customWidth="1"/>
    <col min="20" max="22" width="14" style="102" customWidth="1"/>
    <col min="23" max="23" width="24.5546875" style="102" customWidth="1"/>
    <col min="24" max="25" width="14" style="102" customWidth="1"/>
    <col min="26" max="26" width="39.5546875" style="102" customWidth="1"/>
    <col min="27" max="34" width="14" style="102" customWidth="1"/>
    <col min="35" max="36" width="11.5546875" style="102"/>
    <col min="37" max="37" width="11.109375" style="102" customWidth="1"/>
    <col min="38" max="65" width="11.5546875" style="102"/>
    <col min="66" max="66" width="11.77734375" style="102" customWidth="1"/>
    <col min="67" max="67" width="15.5546875" style="102" customWidth="1"/>
    <col min="68" max="16384" width="11.5546875" style="102"/>
  </cols>
  <sheetData>
    <row r="1" spans="1:46" ht="14.4">
      <c r="A1" s="102">
        <v>84594</v>
      </c>
      <c r="B1" s="102">
        <v>84594</v>
      </c>
      <c r="C1" s="117">
        <v>27.51</v>
      </c>
      <c r="D1" s="118">
        <v>26.850509330000001</v>
      </c>
      <c r="E1" s="119">
        <v>0</v>
      </c>
      <c r="F1" s="119"/>
    </row>
    <row r="2" spans="1:46" ht="14.4">
      <c r="A2" s="102">
        <v>0</v>
      </c>
      <c r="B2" s="102">
        <v>0</v>
      </c>
      <c r="C2" s="117">
        <v>0</v>
      </c>
      <c r="D2" s="118">
        <v>0</v>
      </c>
      <c r="E2" s="119">
        <v>0</v>
      </c>
      <c r="F2" s="119"/>
    </row>
    <row r="3" spans="1:46" ht="14.4">
      <c r="A3" s="102">
        <v>26228</v>
      </c>
      <c r="B3" s="102">
        <v>28540</v>
      </c>
      <c r="C3" s="117">
        <v>13.61</v>
      </c>
      <c r="D3" s="118">
        <v>13.664454575000001</v>
      </c>
      <c r="E3" s="119">
        <v>0.10860011079767527</v>
      </c>
      <c r="F3" s="119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</row>
    <row r="4" spans="1:46" ht="14.4">
      <c r="A4" s="102">
        <v>56054</v>
      </c>
      <c r="B4" s="102">
        <v>56054</v>
      </c>
      <c r="C4" s="117">
        <v>34.56</v>
      </c>
      <c r="D4" s="118">
        <v>33.564214020000001</v>
      </c>
      <c r="E4" s="119">
        <v>0</v>
      </c>
      <c r="F4" s="119"/>
    </row>
    <row r="5" spans="1:46" ht="14.4">
      <c r="A5" s="102">
        <v>8985</v>
      </c>
      <c r="B5" s="102">
        <v>8985</v>
      </c>
      <c r="C5" s="117">
        <v>47.56</v>
      </c>
      <c r="D5" s="118">
        <v>47.56</v>
      </c>
      <c r="E5" s="119">
        <v>3.8720800833143276E-3</v>
      </c>
      <c r="F5" s="119"/>
    </row>
    <row r="6" spans="1:46" ht="14.4">
      <c r="A6" s="102">
        <v>-4166</v>
      </c>
      <c r="B6" s="102">
        <v>-2486</v>
      </c>
      <c r="C6" s="117">
        <v>36.35</v>
      </c>
      <c r="D6" s="118">
        <v>36.267318895000002</v>
      </c>
      <c r="E6" s="119">
        <v>3.8720800833143276E-3</v>
      </c>
      <c r="F6" s="119"/>
    </row>
    <row r="7" spans="1:46" ht="14.4">
      <c r="A7" s="102">
        <v>67525</v>
      </c>
      <c r="B7" s="102">
        <v>67525</v>
      </c>
      <c r="C7" s="117">
        <v>36.31</v>
      </c>
      <c r="D7" s="118">
        <v>35.526036392999998</v>
      </c>
      <c r="E7" s="119">
        <v>2.4990000000000002E-2</v>
      </c>
      <c r="F7" s="119"/>
    </row>
    <row r="8" spans="1:46" ht="14.4">
      <c r="A8" s="102">
        <v>0</v>
      </c>
      <c r="B8" s="102">
        <v>0</v>
      </c>
      <c r="C8" s="117">
        <v>0</v>
      </c>
      <c r="D8" s="118">
        <v>0</v>
      </c>
      <c r="E8" s="119">
        <v>0</v>
      </c>
      <c r="F8" s="119"/>
    </row>
    <row r="9" spans="1:46" ht="14.4">
      <c r="A9" s="102">
        <v>10511</v>
      </c>
      <c r="B9" s="102">
        <v>10522.695793999999</v>
      </c>
      <c r="C9" s="117">
        <v>22.29</v>
      </c>
      <c r="D9" s="118">
        <v>22.467656641000001</v>
      </c>
      <c r="E9" s="119">
        <v>6.0279999999999993E-2</v>
      </c>
      <c r="F9" s="119"/>
    </row>
    <row r="10" spans="1:46" ht="14.4">
      <c r="A10" s="102">
        <v>6711</v>
      </c>
      <c r="B10" s="102">
        <v>6698.3042057000002</v>
      </c>
      <c r="C10" s="117">
        <v>10.96</v>
      </c>
      <c r="D10" s="118">
        <v>10.987340284</v>
      </c>
      <c r="E10" s="119">
        <v>0</v>
      </c>
      <c r="F10" s="119"/>
      <c r="AT10" s="122"/>
    </row>
    <row r="11" spans="1:46" ht="14.4">
      <c r="A11" s="102">
        <v>39752</v>
      </c>
      <c r="B11" s="102">
        <v>39752</v>
      </c>
      <c r="C11" s="117">
        <v>40.78</v>
      </c>
      <c r="D11" s="118">
        <v>39.82332478</v>
      </c>
      <c r="E11" s="119">
        <v>4.6150000000000004E-2</v>
      </c>
      <c r="F11" s="119"/>
    </row>
    <row r="12" spans="1:46" ht="14.4">
      <c r="A12" s="102">
        <v>10552</v>
      </c>
      <c r="B12" s="102">
        <v>10552</v>
      </c>
      <c r="C12" s="117">
        <v>48.26</v>
      </c>
      <c r="D12" s="118">
        <v>47.936119890000001</v>
      </c>
      <c r="E12" s="119">
        <v>0</v>
      </c>
      <c r="F12" s="119"/>
    </row>
    <row r="13" spans="1:46" ht="14.4">
      <c r="A13" s="102">
        <v>8741</v>
      </c>
      <c r="B13" s="102">
        <v>8741</v>
      </c>
      <c r="C13" s="117">
        <v>47.7</v>
      </c>
      <c r="D13" s="118">
        <v>47.725728480000001</v>
      </c>
      <c r="E13" s="119">
        <v>7.2247550127307436E-2</v>
      </c>
      <c r="F13" s="119"/>
    </row>
    <row r="14" spans="1:46" ht="14.4">
      <c r="A14" s="102">
        <v>-8730</v>
      </c>
      <c r="B14" s="102">
        <v>-7341</v>
      </c>
      <c r="C14" s="117">
        <v>43.26</v>
      </c>
      <c r="D14" s="118">
        <v>42.594300764000003</v>
      </c>
      <c r="E14" s="119">
        <v>3.8827024651103624E-2</v>
      </c>
      <c r="F14" s="119"/>
    </row>
    <row r="15" spans="1:46" ht="14.4">
      <c r="A15" s="102">
        <v>77237</v>
      </c>
      <c r="B15" s="102">
        <v>77237</v>
      </c>
      <c r="C15" s="117">
        <v>42.03</v>
      </c>
      <c r="D15" s="118">
        <v>42.206362572000003</v>
      </c>
      <c r="E15" s="119">
        <v>4.3589999999999997E-2</v>
      </c>
      <c r="F15" s="119"/>
    </row>
    <row r="16" spans="1:46" ht="14.4">
      <c r="A16" s="102">
        <v>27513</v>
      </c>
      <c r="B16" s="102">
        <v>38863</v>
      </c>
      <c r="C16" s="117">
        <v>11.36</v>
      </c>
      <c r="D16" s="118">
        <v>11.596560113000001</v>
      </c>
      <c r="E16" s="119">
        <v>0</v>
      </c>
      <c r="F16" s="119"/>
    </row>
    <row r="17" spans="1:32" ht="14.4">
      <c r="A17" s="102">
        <v>57667</v>
      </c>
      <c r="B17" s="102">
        <v>57667</v>
      </c>
      <c r="C17" s="117">
        <v>64.72</v>
      </c>
      <c r="D17" s="118">
        <v>64.72</v>
      </c>
      <c r="E17" s="119">
        <v>8.7420000000000012E-2</v>
      </c>
      <c r="F17" s="119"/>
    </row>
    <row r="18" spans="1:32" ht="14.4">
      <c r="A18" s="102">
        <v>-10255</v>
      </c>
      <c r="B18" s="102">
        <v>-10255</v>
      </c>
      <c r="C18" s="117">
        <v>64.72</v>
      </c>
      <c r="D18" s="118">
        <v>64.722048219000001</v>
      </c>
      <c r="E18" s="119">
        <v>8.7420000000000012E-2</v>
      </c>
      <c r="F18" s="119"/>
    </row>
    <row r="19" spans="1:32" ht="14.4">
      <c r="A19" s="102">
        <v>0</v>
      </c>
      <c r="B19" s="102">
        <v>0</v>
      </c>
      <c r="C19" s="117">
        <v>0</v>
      </c>
      <c r="D19" s="118">
        <v>0</v>
      </c>
      <c r="E19" s="119">
        <v>0</v>
      </c>
      <c r="F19" s="119"/>
    </row>
    <row r="20" spans="1:32" ht="14.4">
      <c r="A20" s="102">
        <v>67922</v>
      </c>
      <c r="B20" s="102">
        <v>67922</v>
      </c>
      <c r="C20" s="117">
        <v>64.72</v>
      </c>
      <c r="D20" s="118">
        <v>64.720309244000006</v>
      </c>
      <c r="E20" s="119">
        <v>8.7420000000000012E-2</v>
      </c>
      <c r="F20" s="119"/>
    </row>
    <row r="21" spans="1:32" ht="14.4">
      <c r="A21" s="102">
        <v>1358</v>
      </c>
      <c r="B21" s="102">
        <v>1358</v>
      </c>
      <c r="C21" s="117">
        <v>64.72</v>
      </c>
      <c r="D21" s="118">
        <v>64.723202573999998</v>
      </c>
      <c r="E21" s="119">
        <v>8.7420000000000012E-2</v>
      </c>
      <c r="F21" s="119"/>
    </row>
    <row r="22" spans="1:32" ht="14.4">
      <c r="A22" s="102">
        <v>66563</v>
      </c>
      <c r="B22" s="102">
        <v>66563</v>
      </c>
      <c r="C22" s="117">
        <v>64.72</v>
      </c>
      <c r="D22" s="118">
        <v>64.721222531999999</v>
      </c>
      <c r="E22" s="119">
        <v>8.7420000000000012E-2</v>
      </c>
      <c r="F22" s="119"/>
    </row>
    <row r="23" spans="1:32" ht="14.4">
      <c r="A23" s="102">
        <v>66506</v>
      </c>
      <c r="B23" s="102">
        <v>66506</v>
      </c>
      <c r="C23" s="117">
        <v>64.72</v>
      </c>
      <c r="D23" s="118">
        <v>64.72122358</v>
      </c>
      <c r="E23" s="119">
        <v>8.7420000000000012E-2</v>
      </c>
      <c r="F23" s="119"/>
      <c r="M23" s="122"/>
    </row>
    <row r="24" spans="1:32" ht="14.4">
      <c r="A24" s="102">
        <v>0</v>
      </c>
      <c r="B24" s="102">
        <v>0</v>
      </c>
      <c r="C24" s="117">
        <v>0</v>
      </c>
      <c r="D24" s="118">
        <v>0</v>
      </c>
      <c r="E24" s="119">
        <v>0</v>
      </c>
      <c r="F24" s="119"/>
      <c r="AD24" s="123"/>
      <c r="AE24" s="123"/>
      <c r="AF24" s="123"/>
    </row>
    <row r="25" spans="1:32" ht="14.4">
      <c r="A25" s="102">
        <v>0</v>
      </c>
      <c r="B25" s="102">
        <v>0</v>
      </c>
      <c r="C25" s="117">
        <v>0</v>
      </c>
      <c r="D25" s="118">
        <v>0</v>
      </c>
      <c r="E25" s="119">
        <v>0</v>
      </c>
      <c r="F25" s="119"/>
      <c r="AD25" s="123"/>
      <c r="AE25" s="124"/>
      <c r="AF25" s="124"/>
    </row>
    <row r="26" spans="1:32" ht="14.4">
      <c r="A26" s="102">
        <v>0</v>
      </c>
      <c r="B26" s="102">
        <v>0</v>
      </c>
      <c r="C26" s="117">
        <v>0</v>
      </c>
      <c r="D26" s="118">
        <v>0</v>
      </c>
      <c r="E26" s="119">
        <v>0</v>
      </c>
      <c r="F26" s="119"/>
      <c r="AD26" s="123"/>
      <c r="AE26" s="124"/>
      <c r="AF26" s="124"/>
    </row>
    <row r="27" spans="1:32" ht="14.4">
      <c r="A27" s="102">
        <v>0</v>
      </c>
      <c r="B27" s="102">
        <v>0</v>
      </c>
      <c r="C27" s="117">
        <v>0</v>
      </c>
      <c r="D27" s="118">
        <v>0</v>
      </c>
      <c r="E27" s="119">
        <v>0</v>
      </c>
      <c r="F27" s="119"/>
      <c r="AD27" s="123"/>
      <c r="AE27" s="124"/>
      <c r="AF27" s="124"/>
    </row>
    <row r="28" spans="1:32" ht="14.4">
      <c r="A28" s="102">
        <v>0</v>
      </c>
      <c r="B28" s="102">
        <v>0</v>
      </c>
      <c r="C28" s="117">
        <v>0</v>
      </c>
      <c r="D28" s="118">
        <v>0</v>
      </c>
      <c r="E28" s="119">
        <v>0</v>
      </c>
      <c r="F28" s="119"/>
      <c r="AD28" s="123"/>
      <c r="AE28" s="124"/>
      <c r="AF28" s="124"/>
    </row>
    <row r="29" spans="1:32" ht="14.4">
      <c r="A29" s="102">
        <v>0</v>
      </c>
      <c r="B29" s="102">
        <v>0</v>
      </c>
      <c r="C29" s="117">
        <v>0</v>
      </c>
      <c r="D29" s="118">
        <v>0</v>
      </c>
      <c r="E29" s="119">
        <v>0</v>
      </c>
      <c r="F29" s="119"/>
      <c r="AD29" s="123"/>
      <c r="AE29" s="124"/>
      <c r="AF29" s="124"/>
    </row>
    <row r="30" spans="1:32" ht="14.4">
      <c r="A30" s="102">
        <v>0</v>
      </c>
      <c r="B30" s="102">
        <v>0</v>
      </c>
      <c r="C30" s="117">
        <v>0</v>
      </c>
      <c r="D30" s="118">
        <v>0</v>
      </c>
      <c r="E30" s="119">
        <v>0</v>
      </c>
      <c r="F30" s="119"/>
      <c r="AD30" s="123"/>
      <c r="AE30" s="124"/>
      <c r="AF30" s="124"/>
    </row>
    <row r="31" spans="1:32" ht="14.4">
      <c r="A31" s="102">
        <v>4585</v>
      </c>
      <c r="B31" s="102">
        <v>4584</v>
      </c>
      <c r="C31" s="117">
        <v>62.17</v>
      </c>
      <c r="D31" s="118">
        <v>62.238885252999999</v>
      </c>
      <c r="E31" s="119">
        <v>9.3779987770015796E-3</v>
      </c>
      <c r="F31" s="119"/>
      <c r="AD31" s="123"/>
      <c r="AE31" s="124"/>
      <c r="AF31" s="124"/>
    </row>
    <row r="32" spans="1:32" ht="14.4">
      <c r="A32" s="102">
        <v>0</v>
      </c>
      <c r="B32" s="102">
        <v>0</v>
      </c>
      <c r="C32" s="117">
        <v>0</v>
      </c>
      <c r="D32" s="118">
        <v>0</v>
      </c>
      <c r="E32" s="119">
        <v>0</v>
      </c>
      <c r="F32" s="119"/>
      <c r="AD32" s="123"/>
      <c r="AE32" s="124"/>
      <c r="AF32" s="124"/>
    </row>
    <row r="33" spans="1:32" ht="14.4">
      <c r="A33" s="102">
        <v>0</v>
      </c>
      <c r="B33" s="102">
        <v>0</v>
      </c>
      <c r="C33" s="117">
        <v>0</v>
      </c>
      <c r="D33" s="118">
        <v>0</v>
      </c>
      <c r="E33" s="119">
        <v>0</v>
      </c>
      <c r="F33" s="119"/>
      <c r="AD33" s="123"/>
      <c r="AE33" s="124"/>
      <c r="AF33" s="124"/>
    </row>
    <row r="34" spans="1:32" ht="14.4">
      <c r="A34" s="102">
        <v>0</v>
      </c>
      <c r="B34" s="102">
        <v>0</v>
      </c>
      <c r="C34" s="117">
        <v>0</v>
      </c>
      <c r="D34" s="118">
        <v>0</v>
      </c>
      <c r="E34" s="119">
        <v>0</v>
      </c>
      <c r="F34" s="119"/>
      <c r="AD34" s="123"/>
      <c r="AE34" s="124"/>
      <c r="AF34" s="124"/>
    </row>
    <row r="35" spans="1:32" ht="14.4">
      <c r="A35" s="102">
        <v>0</v>
      </c>
      <c r="B35" s="102">
        <v>0</v>
      </c>
      <c r="C35" s="117">
        <v>0</v>
      </c>
      <c r="D35" s="118">
        <v>0</v>
      </c>
      <c r="E35" s="119">
        <v>0</v>
      </c>
      <c r="F35" s="119"/>
      <c r="AD35" s="123"/>
      <c r="AE35" s="124"/>
      <c r="AF35" s="124"/>
    </row>
    <row r="36" spans="1:32" ht="14.4">
      <c r="A36" s="102">
        <v>0</v>
      </c>
      <c r="B36" s="102">
        <v>0</v>
      </c>
      <c r="C36" s="117">
        <v>0</v>
      </c>
      <c r="D36" s="118">
        <v>0</v>
      </c>
      <c r="E36" s="119">
        <v>0</v>
      </c>
      <c r="F36" s="119"/>
      <c r="AD36" s="123"/>
      <c r="AE36" s="124"/>
      <c r="AF36" s="124"/>
    </row>
    <row r="37" spans="1:32" ht="14.4">
      <c r="A37" s="102">
        <v>0</v>
      </c>
      <c r="B37" s="102">
        <v>0</v>
      </c>
      <c r="C37" s="117">
        <v>0</v>
      </c>
      <c r="D37" s="118">
        <v>0</v>
      </c>
      <c r="E37" s="119">
        <v>0</v>
      </c>
      <c r="F37" s="119"/>
      <c r="AD37" s="123"/>
      <c r="AE37" s="124"/>
      <c r="AF37" s="124"/>
    </row>
    <row r="38" spans="1:32" ht="14.4">
      <c r="A38" s="102">
        <v>0</v>
      </c>
      <c r="B38" s="102">
        <v>0</v>
      </c>
      <c r="C38" s="117">
        <v>0</v>
      </c>
      <c r="D38" s="118">
        <v>0</v>
      </c>
      <c r="E38" s="119">
        <v>0</v>
      </c>
      <c r="F38" s="119"/>
      <c r="AD38" s="123"/>
      <c r="AE38" s="124"/>
      <c r="AF38" s="124"/>
    </row>
    <row r="39" spans="1:32" ht="14.4">
      <c r="A39" s="102">
        <v>0</v>
      </c>
      <c r="B39" s="102">
        <v>0</v>
      </c>
      <c r="C39" s="117">
        <v>0</v>
      </c>
      <c r="D39" s="118">
        <v>0</v>
      </c>
      <c r="E39" s="119">
        <v>0</v>
      </c>
      <c r="F39" s="119"/>
      <c r="AD39" s="123"/>
      <c r="AE39" s="124"/>
      <c r="AF39" s="124"/>
    </row>
    <row r="40" spans="1:32" ht="14.4">
      <c r="A40" s="102">
        <v>0</v>
      </c>
      <c r="B40" s="102">
        <v>0</v>
      </c>
      <c r="C40" s="117">
        <v>0</v>
      </c>
      <c r="D40" s="118">
        <v>0</v>
      </c>
      <c r="E40" s="119">
        <v>0</v>
      </c>
      <c r="F40" s="119"/>
      <c r="AD40" s="123"/>
      <c r="AE40" s="124"/>
      <c r="AF40" s="124"/>
    </row>
    <row r="41" spans="1:32" ht="14.4">
      <c r="A41" s="102">
        <v>0</v>
      </c>
      <c r="B41" s="102">
        <v>0</v>
      </c>
      <c r="C41" s="117">
        <v>0</v>
      </c>
      <c r="D41" s="118">
        <v>0</v>
      </c>
      <c r="E41" s="119">
        <v>0</v>
      </c>
      <c r="F41" s="119"/>
      <c r="AD41" s="123"/>
      <c r="AE41" s="124"/>
      <c r="AF41" s="124"/>
    </row>
    <row r="42" spans="1:32" ht="14.4">
      <c r="A42" s="102">
        <v>0</v>
      </c>
      <c r="B42" s="102">
        <v>0</v>
      </c>
      <c r="C42" s="117">
        <v>0</v>
      </c>
      <c r="D42" s="118">
        <v>0</v>
      </c>
      <c r="E42" s="119">
        <v>0</v>
      </c>
      <c r="F42" s="119"/>
      <c r="AD42" s="123"/>
      <c r="AE42" s="124"/>
      <c r="AF42" s="124"/>
    </row>
    <row r="43" spans="1:32" ht="14.4">
      <c r="A43" s="102">
        <v>0</v>
      </c>
      <c r="B43" s="102">
        <v>0</v>
      </c>
      <c r="C43" s="117">
        <v>0</v>
      </c>
      <c r="D43" s="118">
        <v>0</v>
      </c>
      <c r="E43" s="119">
        <v>0</v>
      </c>
      <c r="F43" s="119"/>
      <c r="AD43" s="123"/>
      <c r="AE43" s="124"/>
      <c r="AF43" s="124"/>
    </row>
    <row r="44" spans="1:32" ht="14.4">
      <c r="A44" s="102">
        <v>0</v>
      </c>
      <c r="B44" s="102">
        <v>0</v>
      </c>
      <c r="C44" s="117">
        <v>0</v>
      </c>
      <c r="D44" s="118">
        <v>0</v>
      </c>
      <c r="E44" s="119">
        <v>0</v>
      </c>
      <c r="F44" s="119"/>
      <c r="AD44" s="123"/>
      <c r="AE44" s="124"/>
      <c r="AF44" s="124"/>
    </row>
    <row r="45" spans="1:32" ht="14.4">
      <c r="A45" s="102">
        <v>0</v>
      </c>
      <c r="B45" s="102">
        <v>0</v>
      </c>
      <c r="C45" s="117">
        <v>0</v>
      </c>
      <c r="D45" s="118">
        <v>0</v>
      </c>
      <c r="E45" s="119">
        <v>0</v>
      </c>
      <c r="F45" s="119"/>
      <c r="AD45" s="123"/>
      <c r="AE45" s="124"/>
      <c r="AF45" s="124"/>
    </row>
    <row r="46" spans="1:32" ht="14.4">
      <c r="A46" s="102">
        <v>0</v>
      </c>
      <c r="B46" s="102">
        <v>0</v>
      </c>
      <c r="C46" s="117">
        <v>0</v>
      </c>
      <c r="D46" s="118">
        <v>0</v>
      </c>
      <c r="E46" s="119">
        <v>0</v>
      </c>
      <c r="F46" s="119"/>
      <c r="AD46" s="123"/>
      <c r="AE46" s="124"/>
      <c r="AF46" s="124"/>
    </row>
    <row r="47" spans="1:32" ht="14.4">
      <c r="A47" s="102">
        <v>0</v>
      </c>
      <c r="B47" s="102">
        <v>0</v>
      </c>
      <c r="C47" s="117">
        <v>0</v>
      </c>
      <c r="D47" s="118">
        <v>0</v>
      </c>
      <c r="E47" s="119">
        <v>0</v>
      </c>
      <c r="F47" s="119"/>
      <c r="AD47" s="123"/>
      <c r="AE47" s="124"/>
      <c r="AF47" s="124"/>
    </row>
    <row r="48" spans="1:32" ht="14.4">
      <c r="A48" s="102">
        <v>0</v>
      </c>
      <c r="B48" s="102">
        <v>0</v>
      </c>
      <c r="C48" s="117">
        <v>0</v>
      </c>
      <c r="D48" s="118">
        <v>0</v>
      </c>
      <c r="E48" s="119">
        <v>0</v>
      </c>
      <c r="F48" s="119"/>
      <c r="AD48" s="123"/>
      <c r="AE48" s="124"/>
      <c r="AF48" s="124"/>
    </row>
    <row r="49" spans="1:32" ht="14.4">
      <c r="A49" s="102">
        <v>0</v>
      </c>
      <c r="B49" s="102">
        <v>0</v>
      </c>
      <c r="C49" s="117">
        <v>0</v>
      </c>
      <c r="D49" s="118">
        <v>0</v>
      </c>
      <c r="E49" s="119">
        <v>0</v>
      </c>
      <c r="F49" s="119"/>
      <c r="AD49" s="123"/>
      <c r="AE49" s="124"/>
      <c r="AF49" s="124"/>
    </row>
    <row r="50" spans="1:32" ht="14.4">
      <c r="A50" s="102">
        <v>0</v>
      </c>
      <c r="B50" s="102">
        <v>0</v>
      </c>
      <c r="C50" s="117">
        <v>0</v>
      </c>
      <c r="D50" s="118">
        <v>0</v>
      </c>
      <c r="E50" s="119">
        <v>0</v>
      </c>
      <c r="F50" s="119"/>
      <c r="AD50" s="123"/>
      <c r="AE50" s="124"/>
      <c r="AF50" s="124"/>
    </row>
    <row r="51" spans="1:32" ht="14.4">
      <c r="A51" s="102">
        <v>0</v>
      </c>
      <c r="B51" s="102">
        <v>0</v>
      </c>
      <c r="C51" s="117">
        <v>0</v>
      </c>
      <c r="D51" s="118">
        <v>0</v>
      </c>
      <c r="E51" s="119">
        <v>0</v>
      </c>
      <c r="F51" s="119"/>
      <c r="AD51" s="123"/>
      <c r="AE51" s="124"/>
      <c r="AF51" s="124"/>
    </row>
    <row r="52" spans="1:32" ht="14.4">
      <c r="A52" s="102">
        <v>38885</v>
      </c>
      <c r="B52" s="102">
        <v>38885</v>
      </c>
      <c r="C52" s="117">
        <v>45.81</v>
      </c>
      <c r="D52" s="118">
        <v>45.81</v>
      </c>
      <c r="E52" s="119">
        <v>3.1504049302207245E-2</v>
      </c>
      <c r="F52" s="119"/>
      <c r="AD52" s="123"/>
      <c r="AE52" s="124"/>
      <c r="AF52" s="124"/>
    </row>
    <row r="53" spans="1:32" ht="14.4">
      <c r="A53" s="102">
        <v>38885</v>
      </c>
      <c r="B53" s="102">
        <v>38885</v>
      </c>
      <c r="C53" s="117">
        <v>45.81</v>
      </c>
      <c r="D53" s="118">
        <v>45.81</v>
      </c>
      <c r="E53" s="119">
        <v>3.1504049302207245E-2</v>
      </c>
      <c r="F53" s="119"/>
      <c r="AD53" s="123"/>
      <c r="AE53" s="124"/>
      <c r="AF53" s="124"/>
    </row>
    <row r="54" spans="1:32" ht="14.4">
      <c r="A54" s="102">
        <v>2198</v>
      </c>
      <c r="B54" s="102">
        <v>2198</v>
      </c>
      <c r="C54" s="117">
        <v>62.73</v>
      </c>
      <c r="D54" s="118">
        <v>62.73</v>
      </c>
      <c r="E54" s="119">
        <v>9.4999999999999998E-3</v>
      </c>
      <c r="F54" s="119"/>
      <c r="AD54" s="123"/>
      <c r="AE54" s="124"/>
      <c r="AF54" s="124"/>
    </row>
    <row r="55" spans="1:32" ht="14.4">
      <c r="A55" s="102">
        <v>57</v>
      </c>
      <c r="B55" s="102">
        <v>57</v>
      </c>
      <c r="C55" s="117">
        <v>64.72</v>
      </c>
      <c r="D55" s="118">
        <v>64.72</v>
      </c>
      <c r="E55" s="119">
        <v>8.7420000000000012E-2</v>
      </c>
      <c r="F55" s="119"/>
      <c r="AD55" s="123"/>
      <c r="AE55" s="124"/>
      <c r="AF55" s="124"/>
    </row>
    <row r="56" spans="1:32" ht="14.4">
      <c r="A56" s="102">
        <v>0</v>
      </c>
      <c r="B56" s="102">
        <v>0</v>
      </c>
      <c r="C56" s="102">
        <v>0</v>
      </c>
      <c r="D56" s="119">
        <v>0</v>
      </c>
      <c r="E56" s="119">
        <v>0</v>
      </c>
      <c r="F56" s="119"/>
      <c r="AD56" s="123"/>
      <c r="AE56" s="124"/>
      <c r="AF56" s="124"/>
    </row>
    <row r="57" spans="1:32" ht="14.4">
      <c r="A57" s="102">
        <v>1643</v>
      </c>
      <c r="B57" s="102">
        <v>1643</v>
      </c>
      <c r="C57" s="102">
        <v>61.6</v>
      </c>
      <c r="D57" s="119">
        <v>61.6</v>
      </c>
      <c r="E57" s="119">
        <v>1.0700000000000001E-2</v>
      </c>
      <c r="F57" s="119"/>
      <c r="AD57" s="123"/>
      <c r="AE57" s="124"/>
      <c r="AF57" s="124"/>
    </row>
    <row r="58" spans="1:32" ht="14.4">
      <c r="A58" s="102">
        <v>0</v>
      </c>
      <c r="B58" s="102">
        <v>0</v>
      </c>
      <c r="C58" s="102">
        <v>0</v>
      </c>
      <c r="D58" s="119">
        <v>0</v>
      </c>
      <c r="E58" s="119">
        <v>0</v>
      </c>
      <c r="F58" s="119"/>
      <c r="AD58" s="123"/>
      <c r="AE58" s="124"/>
      <c r="AF58" s="124"/>
    </row>
    <row r="59" spans="1:32" ht="14.4">
      <c r="A59" s="102">
        <v>0</v>
      </c>
      <c r="B59" s="102">
        <v>0</v>
      </c>
      <c r="C59" s="102">
        <v>0</v>
      </c>
      <c r="D59" s="119">
        <v>0</v>
      </c>
      <c r="E59" s="119">
        <v>0</v>
      </c>
      <c r="F59" s="119"/>
      <c r="AD59" s="123"/>
      <c r="AE59" s="124"/>
      <c r="AF59" s="124"/>
    </row>
    <row r="60" spans="1:32" ht="18">
      <c r="A60" s="102">
        <v>0</v>
      </c>
      <c r="B60" s="102">
        <v>0</v>
      </c>
      <c r="C60" s="102">
        <v>0</v>
      </c>
      <c r="D60" s="119">
        <v>0</v>
      </c>
      <c r="E60" s="119">
        <v>0</v>
      </c>
      <c r="F60" s="119"/>
      <c r="J60" s="244"/>
      <c r="K60" s="244"/>
      <c r="L60" s="244"/>
      <c r="N60" s="245"/>
      <c r="O60" s="245"/>
      <c r="R60" s="125"/>
      <c r="AD60" s="123"/>
      <c r="AE60" s="124"/>
      <c r="AF60" s="124"/>
    </row>
    <row r="61" spans="1:32" ht="14.4">
      <c r="A61" s="102">
        <v>0</v>
      </c>
      <c r="B61" s="102">
        <v>0</v>
      </c>
      <c r="C61" s="102">
        <v>0</v>
      </c>
      <c r="D61" s="119">
        <v>0</v>
      </c>
      <c r="E61" s="119">
        <v>0</v>
      </c>
      <c r="F61" s="119"/>
      <c r="J61" s="123"/>
      <c r="K61" s="123"/>
      <c r="L61" s="123"/>
      <c r="N61" s="126"/>
      <c r="O61" s="126"/>
      <c r="P61" s="127"/>
      <c r="R61" s="127"/>
      <c r="V61" s="122"/>
      <c r="W61" s="122"/>
      <c r="AD61" s="123"/>
      <c r="AE61" s="124"/>
      <c r="AF61" s="124"/>
    </row>
    <row r="62" spans="1:32" ht="15.6">
      <c r="A62" s="102">
        <v>1332</v>
      </c>
      <c r="B62" s="102">
        <v>1332</v>
      </c>
      <c r="C62" s="102">
        <v>53.03</v>
      </c>
      <c r="D62" s="119">
        <v>53.03</v>
      </c>
      <c r="E62" s="119">
        <v>1.6500000000000001E-2</v>
      </c>
      <c r="F62" s="119"/>
      <c r="K62" s="117"/>
      <c r="L62" s="122"/>
      <c r="N62" s="128"/>
      <c r="O62" s="128"/>
      <c r="P62" s="117"/>
      <c r="Q62" s="129"/>
      <c r="R62" s="117"/>
      <c r="S62" s="129"/>
      <c r="V62" s="122"/>
      <c r="W62" s="122"/>
      <c r="AD62" s="123"/>
      <c r="AE62" s="124"/>
      <c r="AF62" s="124"/>
    </row>
    <row r="63" spans="1:32" ht="15.6">
      <c r="A63" s="102">
        <v>385</v>
      </c>
      <c r="B63" s="102">
        <v>385</v>
      </c>
      <c r="C63" s="102">
        <v>62.83</v>
      </c>
      <c r="D63" s="119">
        <v>62.83</v>
      </c>
      <c r="E63" s="119">
        <v>5.6000000000000008E-3</v>
      </c>
      <c r="F63" s="119"/>
      <c r="K63" s="117"/>
      <c r="L63" s="122"/>
      <c r="N63" s="128"/>
      <c r="O63" s="128"/>
      <c r="P63" s="117"/>
      <c r="Q63" s="129"/>
      <c r="R63" s="117"/>
      <c r="S63" s="129"/>
      <c r="V63" s="122"/>
      <c r="W63" s="122"/>
      <c r="AD63" s="123"/>
      <c r="AE63" s="124"/>
      <c r="AF63" s="124"/>
    </row>
    <row r="64" spans="1:32" ht="15.6">
      <c r="A64" s="102">
        <v>358</v>
      </c>
      <c r="B64" s="102">
        <v>358</v>
      </c>
      <c r="C64" s="102">
        <v>61.52</v>
      </c>
      <c r="D64" s="119">
        <v>61.52</v>
      </c>
      <c r="E64" s="119">
        <v>6.6E-3</v>
      </c>
      <c r="F64" s="119"/>
      <c r="K64" s="117"/>
      <c r="L64" s="122"/>
      <c r="N64" s="128"/>
      <c r="O64" s="128"/>
      <c r="P64" s="117"/>
      <c r="Q64" s="129"/>
      <c r="R64" s="117"/>
      <c r="S64" s="129"/>
      <c r="V64" s="122"/>
      <c r="W64" s="130"/>
      <c r="AD64" s="123"/>
      <c r="AE64" s="124"/>
      <c r="AF64" s="124"/>
    </row>
    <row r="65" spans="1:32" ht="15.6">
      <c r="A65" s="102">
        <v>0</v>
      </c>
      <c r="B65" s="102">
        <v>0</v>
      </c>
      <c r="C65" s="102">
        <v>0</v>
      </c>
      <c r="D65" s="119">
        <v>0</v>
      </c>
      <c r="E65" s="119">
        <v>0</v>
      </c>
      <c r="F65" s="119"/>
      <c r="G65" s="131"/>
      <c r="H65" s="127"/>
      <c r="K65" s="117"/>
      <c r="L65" s="122"/>
      <c r="N65" s="128"/>
      <c r="O65" s="128"/>
      <c r="P65" s="117"/>
      <c r="Q65" s="129"/>
      <c r="R65" s="117"/>
      <c r="S65" s="129"/>
      <c r="V65" s="122"/>
      <c r="W65" s="130"/>
      <c r="AD65" s="123"/>
      <c r="AE65" s="124"/>
      <c r="AF65" s="124"/>
    </row>
    <row r="66" spans="1:32" ht="15.6">
      <c r="A66" s="119">
        <v>1332</v>
      </c>
      <c r="B66" s="119">
        <v>1332</v>
      </c>
      <c r="C66" s="119">
        <v>53.03</v>
      </c>
      <c r="D66" s="119">
        <v>53.03</v>
      </c>
      <c r="E66" s="119">
        <v>1.6500000000000001E-2</v>
      </c>
      <c r="F66" s="119"/>
      <c r="G66" s="131"/>
      <c r="H66" s="127"/>
      <c r="K66" s="117"/>
      <c r="L66" s="122"/>
      <c r="N66" s="128"/>
      <c r="O66" s="128"/>
      <c r="P66" s="117"/>
      <c r="Q66" s="129"/>
      <c r="R66" s="117"/>
      <c r="S66" s="129"/>
      <c r="V66" s="122"/>
      <c r="W66" s="130"/>
      <c r="AD66" s="123"/>
      <c r="AE66" s="124"/>
      <c r="AF66" s="124"/>
    </row>
    <row r="67" spans="1:32" ht="15.6">
      <c r="A67" s="132">
        <v>0</v>
      </c>
      <c r="B67" s="132">
        <v>0</v>
      </c>
      <c r="C67" s="118">
        <v>0</v>
      </c>
      <c r="D67" s="119">
        <v>0</v>
      </c>
      <c r="E67" s="119">
        <v>0</v>
      </c>
      <c r="F67" s="133"/>
      <c r="G67" s="131"/>
      <c r="H67" s="127"/>
      <c r="K67" s="117"/>
      <c r="L67" s="122"/>
      <c r="N67" s="128"/>
      <c r="O67" s="128"/>
      <c r="P67" s="117"/>
      <c r="Q67" s="129"/>
      <c r="R67" s="117"/>
      <c r="S67" s="129"/>
      <c r="V67" s="122"/>
      <c r="W67" s="130"/>
      <c r="AD67" s="123"/>
      <c r="AE67" s="124"/>
      <c r="AF67" s="124"/>
    </row>
    <row r="68" spans="1:32" ht="15.6">
      <c r="A68" s="119">
        <v>268</v>
      </c>
      <c r="B68" s="119">
        <v>268</v>
      </c>
      <c r="C68" s="119">
        <v>53.26</v>
      </c>
      <c r="D68" s="119">
        <v>53.26</v>
      </c>
      <c r="E68" s="119">
        <v>5.8592592592592585E-3</v>
      </c>
      <c r="F68" s="119"/>
      <c r="G68" s="131"/>
      <c r="H68" s="127"/>
      <c r="K68" s="117"/>
      <c r="L68" s="122"/>
      <c r="N68" s="128"/>
      <c r="O68" s="128"/>
      <c r="P68" s="117"/>
      <c r="Q68" s="129"/>
      <c r="R68" s="117"/>
      <c r="S68" s="129"/>
      <c r="V68" s="122"/>
      <c r="W68" s="130"/>
      <c r="AD68" s="123"/>
      <c r="AE68" s="124"/>
      <c r="AF68" s="124"/>
    </row>
    <row r="69" spans="1:32" ht="18.75" customHeight="1">
      <c r="A69" s="119">
        <v>0</v>
      </c>
      <c r="B69" s="119">
        <v>0</v>
      </c>
      <c r="C69" s="119">
        <v>0</v>
      </c>
      <c r="D69" s="119">
        <v>0</v>
      </c>
      <c r="E69" s="119">
        <v>0</v>
      </c>
      <c r="F69" s="119"/>
      <c r="G69" s="131"/>
      <c r="H69" s="127"/>
      <c r="K69" s="117"/>
      <c r="L69" s="122"/>
      <c r="N69" s="128"/>
      <c r="O69" s="128"/>
      <c r="P69" s="117"/>
      <c r="Q69" s="129"/>
      <c r="R69" s="117"/>
      <c r="S69" s="129"/>
      <c r="V69" s="122"/>
      <c r="W69" s="130"/>
      <c r="AD69" s="123"/>
      <c r="AE69" s="124"/>
      <c r="AF69" s="124"/>
    </row>
    <row r="70" spans="1:32" ht="15.6">
      <c r="G70" s="131"/>
      <c r="H70" s="127"/>
      <c r="K70" s="117"/>
      <c r="L70" s="122"/>
      <c r="N70" s="128"/>
      <c r="O70" s="128"/>
      <c r="P70" s="117"/>
      <c r="Q70" s="129"/>
      <c r="R70" s="117"/>
      <c r="S70" s="129"/>
      <c r="V70" s="122"/>
      <c r="W70" s="130"/>
      <c r="AD70" s="123"/>
      <c r="AE70" s="124"/>
      <c r="AF70" s="124"/>
    </row>
    <row r="71" spans="1:32" ht="15.6">
      <c r="G71" s="122"/>
      <c r="H71" s="127"/>
      <c r="I71" s="102" t="s">
        <v>97</v>
      </c>
      <c r="J71" s="102">
        <f t="shared" ref="J71:J116" si="0">B10</f>
        <v>6698.3042057000002</v>
      </c>
      <c r="K71" s="117">
        <f t="shared" ref="K71:K116" si="1">IF(D10&gt;1,D10/100,D10)</f>
        <v>0.10987340284</v>
      </c>
      <c r="L71" s="122">
        <f t="shared" ref="L71:L116" si="2">+J71*K71</f>
        <v>735.9654763377423</v>
      </c>
      <c r="N71" s="128"/>
      <c r="O71" s="128"/>
      <c r="P71" s="117"/>
      <c r="Q71" s="129"/>
      <c r="R71" s="117"/>
      <c r="S71" s="129"/>
      <c r="V71" s="122"/>
      <c r="W71" s="130"/>
      <c r="AD71" s="123"/>
      <c r="AE71" s="124"/>
      <c r="AF71" s="124"/>
    </row>
    <row r="72" spans="1:32" ht="15.6">
      <c r="G72" s="131"/>
      <c r="H72" s="127"/>
      <c r="I72" s="102" t="s">
        <v>98</v>
      </c>
      <c r="J72" s="102">
        <f t="shared" si="0"/>
        <v>39752</v>
      </c>
      <c r="K72" s="117">
        <f t="shared" si="1"/>
        <v>0.39823324780000002</v>
      </c>
      <c r="L72" s="122">
        <f t="shared" si="2"/>
        <v>15830.5680665456</v>
      </c>
      <c r="N72" s="128"/>
      <c r="O72" s="128"/>
      <c r="P72" s="117"/>
      <c r="Q72" s="129"/>
      <c r="R72" s="117"/>
      <c r="S72" s="129"/>
      <c r="V72" s="122"/>
      <c r="W72" s="130"/>
      <c r="AD72" s="123"/>
      <c r="AE72" s="124"/>
      <c r="AF72" s="124"/>
    </row>
    <row r="73" spans="1:32" ht="15.6">
      <c r="G73" s="131"/>
      <c r="H73" s="127"/>
      <c r="I73" s="102" t="s">
        <v>99</v>
      </c>
      <c r="J73" s="102">
        <f t="shared" si="0"/>
        <v>10552</v>
      </c>
      <c r="K73" s="117">
        <f t="shared" si="1"/>
        <v>0.47936119890000001</v>
      </c>
      <c r="L73" s="122">
        <f t="shared" si="2"/>
        <v>5058.2193707928</v>
      </c>
      <c r="N73" s="128"/>
      <c r="O73" s="128"/>
      <c r="P73" s="117"/>
      <c r="Q73" s="129"/>
      <c r="R73" s="117"/>
      <c r="S73" s="129"/>
      <c r="V73" s="122"/>
      <c r="W73" s="130"/>
      <c r="AD73" s="123"/>
      <c r="AE73" s="124"/>
      <c r="AF73" s="124"/>
    </row>
    <row r="74" spans="1:32" ht="15.6">
      <c r="G74" s="131"/>
      <c r="H74" s="127"/>
      <c r="I74" s="102" t="s">
        <v>100</v>
      </c>
      <c r="J74" s="102">
        <f t="shared" si="0"/>
        <v>8741</v>
      </c>
      <c r="K74" s="117">
        <f t="shared" si="1"/>
        <v>0.47725728480000001</v>
      </c>
      <c r="L74" s="122">
        <f t="shared" si="2"/>
        <v>4171.7059264367999</v>
      </c>
      <c r="N74" s="128"/>
      <c r="O74" s="128"/>
      <c r="P74" s="117"/>
      <c r="Q74" s="129"/>
      <c r="R74" s="117"/>
      <c r="S74" s="129"/>
      <c r="V74" s="122"/>
      <c r="W74" s="130"/>
      <c r="AD74" s="123"/>
      <c r="AE74" s="124"/>
      <c r="AF74" s="124"/>
    </row>
    <row r="75" spans="1:32" ht="15.6">
      <c r="A75" s="122"/>
      <c r="B75" s="122"/>
      <c r="C75" s="117"/>
      <c r="F75" s="134"/>
      <c r="G75" s="131"/>
      <c r="H75" s="127"/>
      <c r="I75" s="102" t="s">
        <v>101</v>
      </c>
      <c r="J75" s="102">
        <f t="shared" si="0"/>
        <v>-7341</v>
      </c>
      <c r="K75" s="117">
        <f t="shared" si="1"/>
        <v>0.42594300764000004</v>
      </c>
      <c r="L75" s="122">
        <f t="shared" si="2"/>
        <v>-3126.8476190852402</v>
      </c>
      <c r="N75" s="128"/>
      <c r="O75" s="128"/>
      <c r="P75" s="117"/>
      <c r="Q75" s="129"/>
      <c r="R75" s="117"/>
      <c r="S75" s="129"/>
      <c r="V75" s="122"/>
      <c r="W75" s="122"/>
      <c r="AD75" s="123"/>
      <c r="AE75" s="124"/>
      <c r="AF75" s="124"/>
    </row>
    <row r="76" spans="1:32" ht="15.6">
      <c r="G76" s="131"/>
      <c r="H76" s="127"/>
      <c r="I76" s="102" t="s">
        <v>102</v>
      </c>
      <c r="J76" s="102">
        <f t="shared" si="0"/>
        <v>77237</v>
      </c>
      <c r="K76" s="117">
        <f t="shared" si="1"/>
        <v>0.42206362572000006</v>
      </c>
      <c r="L76" s="122">
        <f t="shared" si="2"/>
        <v>32598.928259735643</v>
      </c>
      <c r="N76" s="128"/>
      <c r="O76" s="128"/>
      <c r="P76" s="117"/>
      <c r="Q76" s="129"/>
      <c r="R76" s="117"/>
      <c r="S76" s="129"/>
      <c r="V76" s="122"/>
      <c r="W76" s="122"/>
      <c r="AD76" s="123"/>
      <c r="AE76" s="124"/>
      <c r="AF76" s="124"/>
    </row>
    <row r="77" spans="1:32" ht="15.6">
      <c r="G77" s="131"/>
      <c r="H77" s="127"/>
      <c r="I77" s="102" t="s">
        <v>103</v>
      </c>
      <c r="J77" s="102">
        <f t="shared" si="0"/>
        <v>38863</v>
      </c>
      <c r="K77" s="117">
        <f t="shared" si="1"/>
        <v>0.11596560113000001</v>
      </c>
      <c r="L77" s="122">
        <f t="shared" si="2"/>
        <v>4506.77115671519</v>
      </c>
      <c r="N77" s="128"/>
      <c r="O77" s="128"/>
      <c r="P77" s="117"/>
      <c r="Q77" s="129"/>
      <c r="R77" s="117"/>
      <c r="S77" s="129"/>
      <c r="V77" s="122"/>
      <c r="W77" s="122"/>
      <c r="AD77" s="123"/>
      <c r="AE77" s="124"/>
      <c r="AF77" s="124"/>
    </row>
    <row r="78" spans="1:32" ht="15.6">
      <c r="G78" s="122"/>
      <c r="H78" s="127"/>
      <c r="I78" s="102" t="s">
        <v>104</v>
      </c>
      <c r="J78" s="102">
        <f t="shared" si="0"/>
        <v>57667</v>
      </c>
      <c r="K78" s="117">
        <f t="shared" si="1"/>
        <v>0.6472</v>
      </c>
      <c r="L78" s="122">
        <f t="shared" si="2"/>
        <v>37322.082399999999</v>
      </c>
      <c r="N78" s="128"/>
      <c r="O78" s="128"/>
      <c r="P78" s="117"/>
      <c r="Q78" s="129"/>
      <c r="R78" s="117"/>
      <c r="S78" s="129"/>
      <c r="V78" s="122"/>
      <c r="W78" s="122"/>
      <c r="AD78" s="123"/>
      <c r="AE78" s="124"/>
      <c r="AF78" s="124"/>
    </row>
    <row r="79" spans="1:32" ht="15.6">
      <c r="A79" s="122"/>
      <c r="B79" s="122"/>
      <c r="C79" s="117"/>
      <c r="F79" s="134"/>
      <c r="G79" s="131"/>
      <c r="H79" s="127"/>
      <c r="I79" s="102" t="s">
        <v>105</v>
      </c>
      <c r="J79" s="102">
        <f t="shared" si="0"/>
        <v>-10255</v>
      </c>
      <c r="K79" s="117">
        <f t="shared" si="1"/>
        <v>0.64722048219000006</v>
      </c>
      <c r="L79" s="122">
        <f t="shared" si="2"/>
        <v>-6637.2460448584507</v>
      </c>
      <c r="N79" s="128"/>
      <c r="O79" s="128"/>
      <c r="P79" s="117"/>
      <c r="Q79" s="129"/>
      <c r="R79" s="117"/>
      <c r="S79" s="129"/>
      <c r="AD79" s="123"/>
      <c r="AE79" s="124"/>
      <c r="AF79" s="124"/>
    </row>
    <row r="80" spans="1:32" ht="15.6">
      <c r="G80" s="122"/>
      <c r="H80" s="127"/>
      <c r="I80" s="102" t="s">
        <v>106</v>
      </c>
      <c r="J80" s="102">
        <f t="shared" si="0"/>
        <v>0</v>
      </c>
      <c r="K80" s="117">
        <f t="shared" si="1"/>
        <v>0</v>
      </c>
      <c r="L80" s="122">
        <f t="shared" si="2"/>
        <v>0</v>
      </c>
      <c r="N80" s="128"/>
      <c r="O80" s="128"/>
      <c r="P80" s="117"/>
      <c r="Q80" s="129"/>
      <c r="R80" s="117"/>
      <c r="S80" s="129"/>
    </row>
    <row r="81" spans="1:19" ht="15.6">
      <c r="A81" s="122"/>
      <c r="B81" s="122"/>
      <c r="C81" s="117"/>
      <c r="F81" s="134"/>
      <c r="G81" s="131"/>
      <c r="H81" s="127"/>
      <c r="I81" s="102" t="s">
        <v>107</v>
      </c>
      <c r="J81" s="102">
        <f t="shared" si="0"/>
        <v>67922</v>
      </c>
      <c r="K81" s="117">
        <f t="shared" si="1"/>
        <v>0.64720309244000007</v>
      </c>
      <c r="L81" s="122">
        <f t="shared" si="2"/>
        <v>43959.328444709688</v>
      </c>
      <c r="N81" s="128"/>
      <c r="O81" s="128"/>
      <c r="P81" s="117"/>
      <c r="Q81" s="129"/>
      <c r="R81" s="117"/>
      <c r="S81" s="129"/>
    </row>
    <row r="82" spans="1:19" ht="15.6">
      <c r="G82" s="131"/>
      <c r="H82" s="127"/>
      <c r="I82" s="102" t="s">
        <v>108</v>
      </c>
      <c r="J82" s="102">
        <f t="shared" si="0"/>
        <v>1358</v>
      </c>
      <c r="K82" s="117">
        <f t="shared" si="1"/>
        <v>0.64723202573999994</v>
      </c>
      <c r="L82" s="122">
        <f t="shared" si="2"/>
        <v>878.9410909549199</v>
      </c>
      <c r="N82" s="128"/>
      <c r="O82" s="128"/>
      <c r="P82" s="117"/>
      <c r="Q82" s="129"/>
      <c r="R82" s="117"/>
      <c r="S82" s="129"/>
    </row>
    <row r="83" spans="1:19" ht="15.6">
      <c r="G83" s="131"/>
      <c r="H83" s="127"/>
      <c r="I83" s="102" t="s">
        <v>109</v>
      </c>
      <c r="J83" s="102">
        <f t="shared" si="0"/>
        <v>66563</v>
      </c>
      <c r="K83" s="117">
        <f t="shared" si="1"/>
        <v>0.64721222532</v>
      </c>
      <c r="L83" s="122">
        <f t="shared" si="2"/>
        <v>43080.387353975158</v>
      </c>
      <c r="N83" s="128"/>
      <c r="O83" s="128"/>
      <c r="P83" s="117"/>
      <c r="Q83" s="129"/>
      <c r="R83" s="117"/>
      <c r="S83" s="129"/>
    </row>
    <row r="84" spans="1:19" ht="15.6">
      <c r="G84" s="122"/>
      <c r="H84" s="117"/>
      <c r="I84" s="102" t="s">
        <v>110</v>
      </c>
      <c r="J84" s="102">
        <f t="shared" si="0"/>
        <v>66506</v>
      </c>
      <c r="K84" s="117">
        <f t="shared" si="1"/>
        <v>0.64721223579999998</v>
      </c>
      <c r="L84" s="122">
        <f t="shared" si="2"/>
        <v>43043.496954114802</v>
      </c>
      <c r="N84" s="128"/>
      <c r="O84" s="128"/>
      <c r="P84" s="117"/>
      <c r="Q84" s="129"/>
      <c r="R84" s="117"/>
      <c r="S84" s="129"/>
    </row>
    <row r="85" spans="1:19" ht="15.6">
      <c r="G85" s="131"/>
      <c r="H85" s="127"/>
      <c r="I85" s="102" t="s">
        <v>111</v>
      </c>
      <c r="J85" s="102">
        <f t="shared" si="0"/>
        <v>0</v>
      </c>
      <c r="K85" s="117">
        <f t="shared" si="1"/>
        <v>0</v>
      </c>
      <c r="L85" s="122">
        <f t="shared" si="2"/>
        <v>0</v>
      </c>
      <c r="N85" s="128"/>
      <c r="O85" s="128"/>
      <c r="P85" s="117"/>
      <c r="Q85" s="129"/>
      <c r="R85" s="117"/>
      <c r="S85" s="129"/>
    </row>
    <row r="86" spans="1:19" ht="15.6">
      <c r="A86" s="122"/>
      <c r="B86" s="122"/>
      <c r="C86" s="128"/>
      <c r="F86" s="134"/>
      <c r="G86" s="131"/>
      <c r="H86" s="127"/>
      <c r="I86" s="102" t="s">
        <v>112</v>
      </c>
      <c r="J86" s="102">
        <f t="shared" si="0"/>
        <v>0</v>
      </c>
      <c r="K86" s="117">
        <f t="shared" si="1"/>
        <v>0</v>
      </c>
      <c r="L86" s="122">
        <f t="shared" si="2"/>
        <v>0</v>
      </c>
      <c r="N86" s="128"/>
      <c r="O86" s="128"/>
      <c r="P86" s="117"/>
      <c r="Q86" s="129"/>
      <c r="R86" s="117"/>
      <c r="S86" s="129"/>
    </row>
    <row r="87" spans="1:19" ht="15.6">
      <c r="F87" s="134"/>
      <c r="G87" s="131"/>
      <c r="H87" s="127"/>
      <c r="I87" s="102" t="s">
        <v>113</v>
      </c>
      <c r="J87" s="102">
        <f t="shared" si="0"/>
        <v>0</v>
      </c>
      <c r="K87" s="117">
        <f t="shared" si="1"/>
        <v>0</v>
      </c>
      <c r="L87" s="122">
        <f t="shared" si="2"/>
        <v>0</v>
      </c>
      <c r="N87" s="128"/>
      <c r="O87" s="128"/>
      <c r="P87" s="117"/>
      <c r="Q87" s="129"/>
      <c r="R87" s="117"/>
      <c r="S87" s="129"/>
    </row>
    <row r="88" spans="1:19" ht="15.6">
      <c r="G88" s="131"/>
      <c r="H88" s="127"/>
      <c r="I88" s="102" t="s">
        <v>114</v>
      </c>
      <c r="J88" s="102">
        <f t="shared" si="0"/>
        <v>0</v>
      </c>
      <c r="K88" s="117">
        <f t="shared" si="1"/>
        <v>0</v>
      </c>
      <c r="L88" s="122">
        <f t="shared" si="2"/>
        <v>0</v>
      </c>
      <c r="N88" s="128"/>
      <c r="O88" s="128"/>
      <c r="P88" s="117"/>
      <c r="Q88" s="129"/>
      <c r="R88" s="117"/>
      <c r="S88" s="129"/>
    </row>
    <row r="89" spans="1:19" ht="15.6">
      <c r="G89" s="131"/>
      <c r="H89" s="127"/>
      <c r="I89" s="102" t="s">
        <v>115</v>
      </c>
      <c r="J89" s="102">
        <f t="shared" si="0"/>
        <v>0</v>
      </c>
      <c r="K89" s="117">
        <f t="shared" si="1"/>
        <v>0</v>
      </c>
      <c r="L89" s="122">
        <f t="shared" si="2"/>
        <v>0</v>
      </c>
      <c r="N89" s="128"/>
      <c r="O89" s="128"/>
      <c r="P89" s="117"/>
      <c r="Q89" s="129"/>
      <c r="R89" s="117"/>
      <c r="S89" s="129"/>
    </row>
    <row r="90" spans="1:19" ht="15.6">
      <c r="G90" s="131"/>
      <c r="H90" s="127"/>
      <c r="I90" s="102" t="s">
        <v>116</v>
      </c>
      <c r="J90" s="102">
        <f t="shared" si="0"/>
        <v>0</v>
      </c>
      <c r="K90" s="117">
        <f t="shared" si="1"/>
        <v>0</v>
      </c>
      <c r="L90" s="122">
        <f t="shared" si="2"/>
        <v>0</v>
      </c>
      <c r="N90" s="128"/>
      <c r="O90" s="128"/>
      <c r="P90" s="117"/>
      <c r="Q90" s="129"/>
      <c r="R90" s="117"/>
      <c r="S90" s="129"/>
    </row>
    <row r="91" spans="1:19" ht="18">
      <c r="A91" s="122"/>
      <c r="B91" s="122"/>
      <c r="C91" s="117"/>
      <c r="F91" s="134"/>
      <c r="G91" s="131"/>
      <c r="H91" s="135"/>
      <c r="I91" s="102" t="s">
        <v>117</v>
      </c>
      <c r="J91" s="102">
        <f t="shared" si="0"/>
        <v>0</v>
      </c>
      <c r="K91" s="117">
        <f t="shared" si="1"/>
        <v>0</v>
      </c>
      <c r="L91" s="122">
        <f t="shared" si="2"/>
        <v>0</v>
      </c>
      <c r="N91" s="128"/>
      <c r="O91" s="128"/>
      <c r="P91" s="117"/>
      <c r="Q91" s="129"/>
      <c r="R91" s="117"/>
      <c r="S91" s="129"/>
    </row>
    <row r="92" spans="1:19" ht="15.6">
      <c r="G92" s="131"/>
      <c r="H92" s="127"/>
      <c r="I92" s="102" t="s">
        <v>118</v>
      </c>
      <c r="J92" s="102">
        <f t="shared" si="0"/>
        <v>4584</v>
      </c>
      <c r="K92" s="117">
        <f t="shared" si="1"/>
        <v>0.62238885252999998</v>
      </c>
      <c r="L92" s="122">
        <f t="shared" si="2"/>
        <v>2853.0304999975201</v>
      </c>
      <c r="N92" s="128"/>
      <c r="O92" s="128"/>
      <c r="P92" s="117"/>
      <c r="Q92" s="129"/>
      <c r="R92" s="117"/>
      <c r="S92" s="129"/>
    </row>
    <row r="93" spans="1:19" ht="15.6">
      <c r="G93" s="131"/>
      <c r="H93" s="127"/>
      <c r="I93" s="102" t="s">
        <v>119</v>
      </c>
      <c r="J93" s="102">
        <f t="shared" si="0"/>
        <v>0</v>
      </c>
      <c r="K93" s="117">
        <f t="shared" si="1"/>
        <v>0</v>
      </c>
      <c r="L93" s="122">
        <f t="shared" si="2"/>
        <v>0</v>
      </c>
      <c r="N93" s="128"/>
      <c r="O93" s="128"/>
      <c r="P93" s="117"/>
      <c r="Q93" s="129"/>
      <c r="R93" s="117"/>
      <c r="S93" s="129"/>
    </row>
    <row r="94" spans="1:19" ht="15.6">
      <c r="A94" s="122"/>
      <c r="B94" s="122"/>
      <c r="C94" s="128"/>
      <c r="F94" s="134"/>
      <c r="G94" s="131"/>
      <c r="H94" s="127"/>
      <c r="I94" s="102" t="s">
        <v>120</v>
      </c>
      <c r="J94" s="102">
        <f t="shared" si="0"/>
        <v>0</v>
      </c>
      <c r="K94" s="117">
        <f t="shared" si="1"/>
        <v>0</v>
      </c>
      <c r="L94" s="122">
        <f t="shared" si="2"/>
        <v>0</v>
      </c>
      <c r="N94" s="128"/>
      <c r="O94" s="128"/>
      <c r="P94" s="117"/>
      <c r="Q94" s="129"/>
      <c r="R94" s="117"/>
      <c r="S94" s="129"/>
    </row>
    <row r="95" spans="1:19" ht="15.6">
      <c r="G95" s="131"/>
      <c r="H95" s="127"/>
      <c r="I95" s="102" t="s">
        <v>121</v>
      </c>
      <c r="J95" s="102">
        <f t="shared" si="0"/>
        <v>0</v>
      </c>
      <c r="K95" s="117">
        <f t="shared" si="1"/>
        <v>0</v>
      </c>
      <c r="L95" s="122">
        <f t="shared" si="2"/>
        <v>0</v>
      </c>
      <c r="N95" s="128"/>
      <c r="O95" s="128"/>
      <c r="P95" s="117"/>
      <c r="Q95" s="129"/>
      <c r="R95" s="117"/>
      <c r="S95" s="129"/>
    </row>
    <row r="96" spans="1:19" ht="15.6">
      <c r="G96" s="131"/>
      <c r="H96" s="127"/>
      <c r="I96" s="102" t="s">
        <v>122</v>
      </c>
      <c r="J96" s="102">
        <f t="shared" si="0"/>
        <v>0</v>
      </c>
      <c r="K96" s="117">
        <f t="shared" si="1"/>
        <v>0</v>
      </c>
      <c r="L96" s="122">
        <f t="shared" si="2"/>
        <v>0</v>
      </c>
      <c r="N96" s="128"/>
      <c r="O96" s="128"/>
      <c r="P96" s="117"/>
      <c r="Q96" s="129"/>
      <c r="R96" s="117"/>
      <c r="S96" s="129"/>
    </row>
    <row r="97" spans="1:19" ht="15.6">
      <c r="G97" s="131"/>
      <c r="H97" s="127"/>
      <c r="I97" s="102" t="s">
        <v>123</v>
      </c>
      <c r="J97" s="102">
        <f t="shared" si="0"/>
        <v>0</v>
      </c>
      <c r="K97" s="117">
        <f t="shared" si="1"/>
        <v>0</v>
      </c>
      <c r="L97" s="122">
        <f t="shared" si="2"/>
        <v>0</v>
      </c>
      <c r="N97" s="128"/>
      <c r="O97" s="128"/>
      <c r="P97" s="117"/>
      <c r="Q97" s="129"/>
      <c r="R97" s="117"/>
      <c r="S97" s="129"/>
    </row>
    <row r="98" spans="1:19" ht="15.6">
      <c r="G98" s="131"/>
      <c r="H98" s="127"/>
      <c r="I98" s="102" t="s">
        <v>124</v>
      </c>
      <c r="J98" s="102">
        <f t="shared" si="0"/>
        <v>0</v>
      </c>
      <c r="K98" s="117">
        <f t="shared" si="1"/>
        <v>0</v>
      </c>
      <c r="L98" s="122">
        <f t="shared" si="2"/>
        <v>0</v>
      </c>
      <c r="N98" s="128"/>
      <c r="O98" s="128"/>
      <c r="P98" s="117"/>
      <c r="Q98" s="129"/>
      <c r="R98" s="117"/>
      <c r="S98" s="129"/>
    </row>
    <row r="99" spans="1:19" ht="15.6">
      <c r="A99" s="122"/>
      <c r="B99" s="122"/>
      <c r="C99" s="117"/>
      <c r="F99" s="134"/>
      <c r="G99" s="131"/>
      <c r="H99" s="127"/>
      <c r="I99" s="102" t="s">
        <v>125</v>
      </c>
      <c r="J99" s="102">
        <f t="shared" si="0"/>
        <v>0</v>
      </c>
      <c r="K99" s="117">
        <f t="shared" si="1"/>
        <v>0</v>
      </c>
      <c r="L99" s="122">
        <f t="shared" si="2"/>
        <v>0</v>
      </c>
      <c r="N99" s="128"/>
      <c r="O99" s="128"/>
      <c r="P99" s="117"/>
      <c r="Q99" s="129"/>
      <c r="R99" s="117"/>
      <c r="S99" s="129"/>
    </row>
    <row r="100" spans="1:19" ht="15.6">
      <c r="G100" s="131"/>
      <c r="H100" s="127"/>
      <c r="I100" s="102" t="s">
        <v>126</v>
      </c>
      <c r="J100" s="102">
        <f t="shared" si="0"/>
        <v>0</v>
      </c>
      <c r="K100" s="117">
        <f t="shared" si="1"/>
        <v>0</v>
      </c>
      <c r="L100" s="122">
        <f t="shared" si="2"/>
        <v>0</v>
      </c>
      <c r="N100" s="128"/>
      <c r="O100" s="128"/>
      <c r="P100" s="117"/>
      <c r="Q100" s="129"/>
      <c r="R100" s="117"/>
      <c r="S100" s="129"/>
    </row>
    <row r="101" spans="1:19" ht="15.6">
      <c r="G101" s="131"/>
      <c r="H101" s="127"/>
      <c r="I101" s="102" t="s">
        <v>127</v>
      </c>
      <c r="J101" s="102">
        <f t="shared" si="0"/>
        <v>0</v>
      </c>
      <c r="K101" s="117">
        <f t="shared" si="1"/>
        <v>0</v>
      </c>
      <c r="L101" s="122">
        <f t="shared" si="2"/>
        <v>0</v>
      </c>
      <c r="N101" s="128"/>
      <c r="O101" s="128"/>
      <c r="P101" s="117"/>
      <c r="Q101" s="129"/>
      <c r="R101" s="117"/>
      <c r="S101" s="129"/>
    </row>
    <row r="102" spans="1:19" ht="15.6">
      <c r="A102" s="122"/>
      <c r="B102" s="122"/>
      <c r="C102" s="117"/>
      <c r="F102" s="134"/>
      <c r="G102" s="131"/>
      <c r="H102" s="127"/>
      <c r="I102" s="102" t="s">
        <v>128</v>
      </c>
      <c r="J102" s="102">
        <f t="shared" si="0"/>
        <v>0</v>
      </c>
      <c r="K102" s="117">
        <f t="shared" si="1"/>
        <v>0</v>
      </c>
      <c r="L102" s="122">
        <f t="shared" si="2"/>
        <v>0</v>
      </c>
      <c r="N102" s="128"/>
      <c r="O102" s="128"/>
      <c r="P102" s="117"/>
      <c r="Q102" s="129"/>
      <c r="R102" s="117"/>
      <c r="S102" s="129"/>
    </row>
    <row r="103" spans="1:19" ht="15.6">
      <c r="G103" s="131"/>
      <c r="H103" s="127"/>
      <c r="I103" s="102" t="s">
        <v>129</v>
      </c>
      <c r="J103" s="102">
        <f t="shared" si="0"/>
        <v>0</v>
      </c>
      <c r="K103" s="117">
        <f t="shared" si="1"/>
        <v>0</v>
      </c>
      <c r="L103" s="122">
        <f t="shared" si="2"/>
        <v>0</v>
      </c>
      <c r="N103" s="128"/>
      <c r="O103" s="128"/>
      <c r="P103" s="117"/>
      <c r="Q103" s="129"/>
      <c r="R103" s="117"/>
      <c r="S103" s="129"/>
    </row>
    <row r="104" spans="1:19" ht="15.6">
      <c r="A104" s="122"/>
      <c r="B104" s="122"/>
      <c r="C104" s="117"/>
      <c r="F104" s="134"/>
      <c r="G104" s="131"/>
      <c r="H104" s="127"/>
      <c r="I104" s="102" t="s">
        <v>130</v>
      </c>
      <c r="J104" s="102">
        <f t="shared" si="0"/>
        <v>0</v>
      </c>
      <c r="K104" s="117">
        <f t="shared" si="1"/>
        <v>0</v>
      </c>
      <c r="L104" s="122">
        <f t="shared" si="2"/>
        <v>0</v>
      </c>
      <c r="N104" s="128"/>
      <c r="O104" s="128"/>
      <c r="P104" s="117"/>
      <c r="Q104" s="129"/>
      <c r="R104" s="117"/>
      <c r="S104" s="129"/>
    </row>
    <row r="105" spans="1:19" ht="15.6">
      <c r="G105" s="131"/>
      <c r="H105" s="127"/>
      <c r="I105" s="102" t="s">
        <v>131</v>
      </c>
      <c r="J105" s="102">
        <f t="shared" si="0"/>
        <v>0</v>
      </c>
      <c r="K105" s="117">
        <f t="shared" si="1"/>
        <v>0</v>
      </c>
      <c r="L105" s="122">
        <f t="shared" si="2"/>
        <v>0</v>
      </c>
      <c r="N105" s="128"/>
      <c r="O105" s="128"/>
      <c r="P105" s="117"/>
      <c r="Q105" s="129"/>
      <c r="R105" s="117"/>
      <c r="S105" s="129"/>
    </row>
    <row r="106" spans="1:19" ht="15.6">
      <c r="A106" s="122"/>
      <c r="B106" s="122"/>
      <c r="C106" s="117"/>
      <c r="G106" s="131"/>
      <c r="H106" s="127"/>
      <c r="I106" s="102" t="s">
        <v>132</v>
      </c>
      <c r="J106" s="102">
        <f t="shared" si="0"/>
        <v>0</v>
      </c>
      <c r="K106" s="117">
        <f t="shared" si="1"/>
        <v>0</v>
      </c>
      <c r="L106" s="122">
        <f t="shared" si="2"/>
        <v>0</v>
      </c>
      <c r="N106" s="128"/>
      <c r="O106" s="128"/>
      <c r="P106" s="117"/>
      <c r="Q106" s="129"/>
      <c r="R106" s="117"/>
      <c r="S106" s="129"/>
    </row>
    <row r="107" spans="1:19" ht="15.6">
      <c r="A107" s="122"/>
      <c r="B107" s="122"/>
      <c r="C107" s="117"/>
      <c r="G107" s="131"/>
      <c r="H107" s="127"/>
      <c r="I107" s="102" t="s">
        <v>133</v>
      </c>
      <c r="J107" s="102">
        <f t="shared" si="0"/>
        <v>0</v>
      </c>
      <c r="K107" s="117">
        <f t="shared" si="1"/>
        <v>0</v>
      </c>
      <c r="L107" s="122">
        <f t="shared" si="2"/>
        <v>0</v>
      </c>
      <c r="N107" s="128"/>
      <c r="O107" s="128"/>
      <c r="P107" s="117"/>
      <c r="Q107" s="129"/>
      <c r="R107" s="117"/>
      <c r="S107" s="129"/>
    </row>
    <row r="108" spans="1:19" ht="15.6">
      <c r="G108" s="131"/>
      <c r="H108" s="127"/>
      <c r="I108" s="102" t="s">
        <v>134</v>
      </c>
      <c r="J108" s="102">
        <f t="shared" si="0"/>
        <v>0</v>
      </c>
      <c r="K108" s="117">
        <f t="shared" si="1"/>
        <v>0</v>
      </c>
      <c r="L108" s="122">
        <f t="shared" si="2"/>
        <v>0</v>
      </c>
      <c r="N108" s="128"/>
      <c r="O108" s="128"/>
      <c r="P108" s="117"/>
      <c r="Q108" s="129"/>
      <c r="R108" s="117"/>
      <c r="S108" s="129"/>
    </row>
    <row r="109" spans="1:19" ht="15.6">
      <c r="G109" s="131"/>
      <c r="H109" s="127"/>
      <c r="I109" s="102" t="s">
        <v>135</v>
      </c>
      <c r="J109" s="102">
        <f t="shared" si="0"/>
        <v>0</v>
      </c>
      <c r="K109" s="117">
        <f t="shared" si="1"/>
        <v>0</v>
      </c>
      <c r="L109" s="122">
        <f t="shared" si="2"/>
        <v>0</v>
      </c>
      <c r="N109" s="128"/>
      <c r="O109" s="128"/>
      <c r="P109" s="117"/>
      <c r="Q109" s="129"/>
      <c r="R109" s="117"/>
      <c r="S109" s="129"/>
    </row>
    <row r="110" spans="1:19" ht="15.6">
      <c r="A110" s="122"/>
      <c r="B110" s="122"/>
      <c r="C110" s="117"/>
      <c r="F110" s="134"/>
      <c r="G110" s="131"/>
      <c r="H110" s="127"/>
      <c r="I110" s="102" t="s">
        <v>136</v>
      </c>
      <c r="J110" s="102">
        <f t="shared" si="0"/>
        <v>0</v>
      </c>
      <c r="K110" s="117">
        <f t="shared" si="1"/>
        <v>0</v>
      </c>
      <c r="L110" s="122">
        <f t="shared" si="2"/>
        <v>0</v>
      </c>
      <c r="N110" s="128"/>
      <c r="O110" s="128"/>
      <c r="P110" s="117"/>
      <c r="Q110" s="129"/>
      <c r="R110" s="117"/>
      <c r="S110" s="129"/>
    </row>
    <row r="111" spans="1:19" ht="15.6">
      <c r="G111" s="131"/>
      <c r="H111" s="127"/>
      <c r="I111" s="102" t="s">
        <v>137</v>
      </c>
      <c r="J111" s="102">
        <f t="shared" si="0"/>
        <v>0</v>
      </c>
      <c r="K111" s="117">
        <f t="shared" si="1"/>
        <v>0</v>
      </c>
      <c r="L111" s="122">
        <f t="shared" si="2"/>
        <v>0</v>
      </c>
      <c r="N111" s="128"/>
      <c r="O111" s="128"/>
      <c r="P111" s="117"/>
      <c r="Q111" s="129"/>
      <c r="R111" s="117"/>
      <c r="S111" s="129"/>
    </row>
    <row r="112" spans="1:19" ht="15.6">
      <c r="G112" s="131"/>
      <c r="H112" s="127"/>
      <c r="I112" s="102" t="s">
        <v>138</v>
      </c>
      <c r="J112" s="102">
        <f t="shared" si="0"/>
        <v>0</v>
      </c>
      <c r="K112" s="117">
        <f t="shared" si="1"/>
        <v>0</v>
      </c>
      <c r="L112" s="122">
        <f t="shared" si="2"/>
        <v>0</v>
      </c>
      <c r="N112" s="128"/>
      <c r="O112" s="128"/>
      <c r="P112" s="117"/>
      <c r="Q112" s="129"/>
      <c r="R112" s="117"/>
      <c r="S112" s="129"/>
    </row>
    <row r="113" spans="1:19" ht="15.6">
      <c r="A113" s="122"/>
      <c r="B113" s="122"/>
      <c r="C113" s="117"/>
      <c r="F113" s="134"/>
      <c r="G113" s="131"/>
      <c r="H113" s="127"/>
      <c r="I113" s="102" t="s">
        <v>139</v>
      </c>
      <c r="J113" s="102">
        <f t="shared" si="0"/>
        <v>38885</v>
      </c>
      <c r="K113" s="117">
        <f t="shared" si="1"/>
        <v>0.45810000000000001</v>
      </c>
      <c r="L113" s="122">
        <f t="shared" si="2"/>
        <v>17813.218499999999</v>
      </c>
      <c r="N113" s="128"/>
      <c r="O113" s="128"/>
      <c r="P113" s="117"/>
      <c r="Q113" s="129"/>
      <c r="R113" s="117"/>
      <c r="S113" s="129"/>
    </row>
    <row r="114" spans="1:19" ht="15.6">
      <c r="G114" s="131"/>
      <c r="H114" s="127"/>
      <c r="I114" s="102" t="s">
        <v>140</v>
      </c>
      <c r="J114" s="102">
        <f t="shared" si="0"/>
        <v>38885</v>
      </c>
      <c r="K114" s="117">
        <f t="shared" si="1"/>
        <v>0.45810000000000001</v>
      </c>
      <c r="L114" s="122">
        <f t="shared" si="2"/>
        <v>17813.218499999999</v>
      </c>
      <c r="N114" s="128"/>
      <c r="O114" s="128"/>
      <c r="P114" s="117"/>
      <c r="Q114" s="129"/>
      <c r="R114" s="117"/>
      <c r="S114" s="129"/>
    </row>
    <row r="115" spans="1:19" ht="15.6">
      <c r="G115" s="131"/>
      <c r="H115" s="127"/>
      <c r="I115" s="102" t="s">
        <v>141</v>
      </c>
      <c r="J115" s="102">
        <f t="shared" si="0"/>
        <v>2198</v>
      </c>
      <c r="K115" s="117">
        <f t="shared" si="1"/>
        <v>0.62729999999999997</v>
      </c>
      <c r="L115" s="122">
        <f t="shared" si="2"/>
        <v>1378.8054</v>
      </c>
      <c r="N115" s="128"/>
      <c r="O115" s="128"/>
      <c r="P115" s="117"/>
      <c r="Q115" s="129"/>
      <c r="R115" s="117"/>
      <c r="S115" s="129"/>
    </row>
    <row r="116" spans="1:19" ht="15.6">
      <c r="G116" s="122"/>
      <c r="H116" s="117"/>
      <c r="I116" s="102" t="s">
        <v>142</v>
      </c>
      <c r="J116" s="102">
        <f t="shared" si="0"/>
        <v>57</v>
      </c>
      <c r="K116" s="117">
        <f t="shared" si="1"/>
        <v>0.6472</v>
      </c>
      <c r="L116" s="122">
        <f t="shared" si="2"/>
        <v>36.8904</v>
      </c>
      <c r="N116" s="128"/>
      <c r="O116" s="128"/>
      <c r="P116" s="117"/>
      <c r="Q116" s="129"/>
      <c r="R116" s="117"/>
      <c r="S116" s="129"/>
    </row>
    <row r="117" spans="1:19" ht="14.4"/>
    <row r="118" spans="1:19" ht="14.4">
      <c r="G118" s="246"/>
      <c r="H118" s="246"/>
      <c r="J118" s="126"/>
      <c r="K118" s="126"/>
    </row>
    <row r="119" spans="1:19" ht="14.4">
      <c r="G119" s="123"/>
      <c r="H119" s="123"/>
      <c r="J119" s="126"/>
      <c r="K119" s="126"/>
    </row>
    <row r="120" spans="1:19" ht="14.4">
      <c r="J120" s="122"/>
      <c r="K120" s="117"/>
    </row>
    <row r="121" spans="1:19" ht="14.4">
      <c r="J121" s="122"/>
      <c r="K121" s="117"/>
    </row>
    <row r="122" spans="1:19" ht="14.4">
      <c r="J122" s="122"/>
      <c r="K122" s="117"/>
    </row>
    <row r="123" spans="1:19" ht="14.4">
      <c r="J123" s="122"/>
      <c r="K123" s="117"/>
    </row>
    <row r="124" spans="1:19" ht="14.4">
      <c r="J124" s="122"/>
      <c r="K124" s="117"/>
    </row>
    <row r="125" spans="1:19" ht="14.4">
      <c r="J125" s="122"/>
      <c r="K125" s="117"/>
    </row>
    <row r="126" spans="1:19" ht="14.4">
      <c r="J126" s="122"/>
      <c r="K126" s="117"/>
    </row>
    <row r="127" spans="1:19" ht="14.4">
      <c r="J127" s="122"/>
      <c r="K127" s="117"/>
    </row>
    <row r="128" spans="1:19" ht="14.4">
      <c r="J128" s="122"/>
      <c r="K128" s="117"/>
    </row>
    <row r="129" spans="10:11" ht="14.4">
      <c r="J129" s="122"/>
      <c r="K129" s="117"/>
    </row>
    <row r="130" spans="10:11" ht="14.4">
      <c r="J130" s="122"/>
      <c r="K130" s="117"/>
    </row>
    <row r="131" spans="10:11" ht="14.4">
      <c r="J131" s="122"/>
      <c r="K131" s="117"/>
    </row>
    <row r="132" spans="10:11" ht="14.4">
      <c r="J132" s="122"/>
      <c r="K132" s="117"/>
    </row>
    <row r="133" spans="10:11" ht="14.4">
      <c r="J133" s="122"/>
      <c r="K133" s="117"/>
    </row>
    <row r="134" spans="10:11" ht="14.4">
      <c r="J134" s="122"/>
      <c r="K134" s="117"/>
    </row>
    <row r="135" spans="10:11" ht="14.4">
      <c r="J135" s="122"/>
      <c r="K135" s="117"/>
    </row>
    <row r="136" spans="10:11" ht="14.4">
      <c r="J136" s="122"/>
      <c r="K136" s="117"/>
    </row>
    <row r="137" spans="10:11" ht="14.4">
      <c r="J137" s="122"/>
      <c r="K137" s="117"/>
    </row>
    <row r="138" spans="10:11" ht="14.4">
      <c r="J138" s="122"/>
      <c r="K138" s="117"/>
    </row>
    <row r="139" spans="10:11" ht="14.4">
      <c r="J139" s="122"/>
      <c r="K139" s="117"/>
    </row>
    <row r="140" spans="10:11" ht="14.4">
      <c r="J140" s="122"/>
      <c r="K140" s="117"/>
    </row>
    <row r="141" spans="10:11" ht="14.4">
      <c r="J141" s="122"/>
      <c r="K141" s="117"/>
    </row>
    <row r="142" spans="10:11" ht="14.4">
      <c r="J142" s="122"/>
      <c r="K142" s="117"/>
    </row>
    <row r="143" spans="10:11" ht="14.4">
      <c r="J143" s="122"/>
      <c r="K143" s="117"/>
    </row>
    <row r="144" spans="10:11" ht="14.4">
      <c r="J144" s="122"/>
      <c r="K144" s="117"/>
    </row>
    <row r="145" spans="10:11" ht="14.4">
      <c r="J145" s="122"/>
      <c r="K145" s="117"/>
    </row>
    <row r="146" spans="10:11" ht="14.4">
      <c r="J146" s="122"/>
      <c r="K146" s="117"/>
    </row>
    <row r="147" spans="10:11" ht="14.4">
      <c r="J147" s="122"/>
      <c r="K147" s="117"/>
    </row>
    <row r="148" spans="10:11" ht="14.4">
      <c r="J148" s="122"/>
      <c r="K148" s="117"/>
    </row>
    <row r="149" spans="10:11" ht="14.4">
      <c r="J149" s="122"/>
      <c r="K149" s="117"/>
    </row>
    <row r="150" spans="10:11" ht="14.4">
      <c r="J150" s="122"/>
      <c r="K150" s="117"/>
    </row>
    <row r="151" spans="10:11" ht="14.4">
      <c r="J151" s="122"/>
      <c r="K151" s="117"/>
    </row>
    <row r="152" spans="10:11" ht="14.4">
      <c r="J152" s="122"/>
      <c r="K152" s="117"/>
    </row>
    <row r="153" spans="10:11" ht="14.4">
      <c r="J153" s="122"/>
      <c r="K153" s="117"/>
    </row>
    <row r="154" spans="10:11" ht="14.4">
      <c r="J154" s="122"/>
      <c r="K154" s="117"/>
    </row>
    <row r="155" spans="10:11" ht="14.4">
      <c r="J155" s="122"/>
      <c r="K155" s="117"/>
    </row>
    <row r="156" spans="10:11" ht="14.4">
      <c r="J156" s="122"/>
      <c r="K156" s="117"/>
    </row>
    <row r="157" spans="10:11" ht="14.4">
      <c r="J157" s="122"/>
      <c r="K157" s="117"/>
    </row>
    <row r="158" spans="10:11" ht="14.4">
      <c r="J158" s="122"/>
      <c r="K158" s="117"/>
    </row>
    <row r="159" spans="10:11" ht="14.4">
      <c r="J159" s="122"/>
      <c r="K159" s="117"/>
    </row>
    <row r="160" spans="10:11" ht="14.4">
      <c r="J160" s="122"/>
      <c r="K160" s="117"/>
    </row>
    <row r="161" spans="7:11" ht="14.4">
      <c r="J161" s="122"/>
      <c r="K161" s="117"/>
    </row>
    <row r="162" spans="7:11" ht="14.4">
      <c r="J162" s="122"/>
      <c r="K162" s="117"/>
    </row>
    <row r="163" spans="7:11" ht="14.4">
      <c r="J163" s="122"/>
      <c r="K163" s="117"/>
    </row>
    <row r="164" spans="7:11" ht="14.4">
      <c r="J164" s="122"/>
      <c r="K164" s="117"/>
    </row>
    <row r="165" spans="7:11" ht="14.4">
      <c r="J165" s="122"/>
      <c r="K165" s="117"/>
    </row>
    <row r="166" spans="7:11" ht="14.4">
      <c r="J166" s="122"/>
      <c r="K166" s="117"/>
    </row>
    <row r="167" spans="7:11" ht="14.4">
      <c r="J167" s="122"/>
      <c r="K167" s="117"/>
    </row>
    <row r="168" spans="7:11" ht="14.4">
      <c r="J168" s="122"/>
      <c r="K168" s="117"/>
    </row>
    <row r="169" spans="7:11" ht="14.4">
      <c r="J169" s="122"/>
      <c r="K169" s="117"/>
    </row>
    <row r="170" spans="7:11" ht="14.4">
      <c r="J170" s="122"/>
      <c r="K170" s="117"/>
    </row>
    <row r="171" spans="7:11" ht="14.4">
      <c r="J171" s="122"/>
      <c r="K171" s="117"/>
    </row>
    <row r="172" spans="7:11" ht="14.4">
      <c r="J172" s="122"/>
      <c r="K172" s="117"/>
    </row>
    <row r="173" spans="7:11" ht="14.4">
      <c r="J173" s="122"/>
      <c r="K173" s="117"/>
    </row>
    <row r="174" spans="7:11" ht="14.4">
      <c r="J174" s="122"/>
      <c r="K174" s="117"/>
    </row>
    <row r="176" spans="7:11" ht="14.4">
      <c r="G176" s="123"/>
      <c r="H176" s="123"/>
    </row>
    <row r="177" spans="7:8" ht="14.4">
      <c r="G177" s="123"/>
      <c r="H177" s="123"/>
    </row>
  </sheetData>
  <mergeCells count="3">
    <mergeCell ref="J60:L60"/>
    <mergeCell ref="N60:O60"/>
    <mergeCell ref="G118:H118"/>
  </mergeCells>
  <conditionalFormatting sqref="N62:O116">
    <cfRule type="expression" dxfId="4" priority="4">
      <formula>ABS(N62)&gt;=10%</formula>
    </cfRule>
  </conditionalFormatting>
  <conditionalFormatting sqref="V61:W78">
    <cfRule type="cellIs" dxfId="3" priority="2" operator="lessThan">
      <formula>-0.001</formula>
    </cfRule>
    <cfRule type="cellIs" dxfId="2" priority="3" operator="greaterThan">
      <formula>0.001</formula>
    </cfRule>
  </conditionalFormatting>
  <conditionalFormatting sqref="BC4:BU11 AY4:BB12 BV4:BW18 BX4:BX20 AA4:AX21 BY4:CC21 J4:X27 BC12 BE12:BU12 AZ13:BE13 BG13:BU13 BF13:BF21 BH14:BI14 BL14:BU14 BJ14:BK17 AY14:BE21 BO15:BU15 BI15:BI17 BM15:BN17 BG15:BH21 BP16:BU16 BL16:BL17 BO17:BP17 BR17:BU17 BI18:BU18 BM19:BV19 BI19:BL21 BS20:BW20 BM20:BR21 BS21:BX21 J28:O31 Q28:X34 P29:P34 O32 J32:N50 O34:O50 P35:X35 R36:X37 P36:P50 Q37:Q38 R38:T38 V38:X41 U38:U50 Q39:T40 S41:T41 Q41:Q50 R42:T43 W42:X47 V42:V51 T44:T45 R44:R50 S45:S50 T47:T50 W48:W52 X48:X58 J51:U52 J53:W58">
    <cfRule type="expression" dxfId="1" priority="5">
      <formula>J4&lt;&gt;0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topLeftCell="A42" zoomScale="110" zoomScaleNormal="110" workbookViewId="0">
      <selection activeCell="A45" activeCellId="32" sqref="H24 H26 H28 J15 J41 L37:L41 N37:N41 Q15 Q24 Q26 Q28 W15 Z24 Z26 Z28 AA37:AA40 AC37:AC40 AI24 AI26 AI28 AO37:AO44 AQ37:AQ44 AR24 AR26 AR28 AS37:AS44 BG37:BG41 BH27:BH28 BI37:BI41 BK27:BK30 BK37:BK41 BN27:BN30 A45"/>
    </sheetView>
  </sheetViews>
  <sheetFormatPr baseColWidth="10" defaultColWidth="10.44140625" defaultRowHeight="15" customHeight="1"/>
  <cols>
    <col min="1" max="1" width="58.6640625" customWidth="1"/>
    <col min="2" max="2" width="24" style="136" customWidth="1"/>
    <col min="3" max="3" width="16.44140625" style="137" customWidth="1"/>
    <col min="4" max="4" width="23.109375" customWidth="1"/>
  </cols>
  <sheetData>
    <row r="1" spans="1:4" ht="23.4">
      <c r="A1" s="138" t="s">
        <v>32</v>
      </c>
      <c r="B1" s="139">
        <v>33365.001688700373</v>
      </c>
      <c r="C1" s="140">
        <v>0.3635343511937752</v>
      </c>
      <c r="D1" s="141">
        <v>3.8720800833143276E-3</v>
      </c>
    </row>
    <row r="2" spans="1:4" ht="23.4">
      <c r="A2" s="138" t="s">
        <v>36</v>
      </c>
      <c r="B2" s="139">
        <v>21178.287657595647</v>
      </c>
      <c r="C2" s="140">
        <v>0.4326409968341598</v>
      </c>
      <c r="D2" s="141">
        <v>3.8827024651103624E-2</v>
      </c>
    </row>
    <row r="3" spans="1:4" ht="23.4">
      <c r="A3" s="138" t="s">
        <v>40</v>
      </c>
      <c r="B3" s="139">
        <v>12349.755019166671</v>
      </c>
      <c r="C3" s="140">
        <v>0.64721999999999991</v>
      </c>
      <c r="D3" s="141">
        <v>8.7420000000000012E-2</v>
      </c>
    </row>
    <row r="4" spans="1:4" ht="23.4">
      <c r="A4" s="138" t="s">
        <v>44</v>
      </c>
      <c r="B4" s="139">
        <v>0</v>
      </c>
      <c r="C4" s="140">
        <v>0</v>
      </c>
      <c r="D4" s="141">
        <v>0</v>
      </c>
    </row>
    <row r="5" spans="1:4" ht="23.4">
      <c r="A5" s="138" t="s">
        <v>143</v>
      </c>
      <c r="B5" s="139">
        <v>87771.5154874</v>
      </c>
      <c r="C5" s="140">
        <v>0.64721999999999991</v>
      </c>
      <c r="D5" s="141">
        <v>8.7420000000000012E-2</v>
      </c>
    </row>
    <row r="6" spans="1:4" ht="23.4">
      <c r="A6" s="138" t="s">
        <v>144</v>
      </c>
      <c r="B6" s="139">
        <v>13126.083711328334</v>
      </c>
      <c r="C6" s="140">
        <v>0.62170000000000003</v>
      </c>
      <c r="D6" s="141">
        <v>9.3779987770015796E-3</v>
      </c>
    </row>
    <row r="7" spans="1:4" ht="23.4">
      <c r="A7" s="138" t="s">
        <v>145</v>
      </c>
      <c r="B7" s="142">
        <v>0</v>
      </c>
      <c r="C7" s="140">
        <v>0</v>
      </c>
      <c r="D7" s="140">
        <v>0</v>
      </c>
    </row>
    <row r="8" spans="1:4" ht="23.4">
      <c r="A8" s="138" t="s">
        <v>96</v>
      </c>
      <c r="B8" s="142">
        <v>1366.9568150000002</v>
      </c>
      <c r="C8" s="140">
        <v>0.53029999999999999</v>
      </c>
      <c r="D8" s="140">
        <v>1.6500000000000001E-2</v>
      </c>
    </row>
    <row r="9" spans="1:4" ht="23.4">
      <c r="A9" s="138" t="s">
        <v>146</v>
      </c>
      <c r="B9" s="139">
        <v>57667.0024815</v>
      </c>
      <c r="C9" s="143">
        <v>0.64721999999999991</v>
      </c>
      <c r="D9" s="140">
        <v>8.7420000000000012E-2</v>
      </c>
    </row>
    <row r="10" spans="1:4" ht="23.4">
      <c r="A10" s="138" t="s">
        <v>147</v>
      </c>
      <c r="B10" s="139">
        <v>0</v>
      </c>
      <c r="C10" s="143">
        <v>0</v>
      </c>
      <c r="D10" s="140">
        <v>0</v>
      </c>
    </row>
    <row r="11" spans="1:4" ht="23.4">
      <c r="A11" s="138" t="s">
        <v>148</v>
      </c>
      <c r="B11" s="139">
        <v>0</v>
      </c>
      <c r="C11" s="143">
        <v>0</v>
      </c>
      <c r="D11" s="140">
        <v>0</v>
      </c>
    </row>
    <row r="12" spans="1:4" ht="23.4">
      <c r="A12" s="138" t="s">
        <v>149</v>
      </c>
      <c r="B12" s="139">
        <v>2197.671875</v>
      </c>
      <c r="C12" s="143">
        <v>0.62729999999999997</v>
      </c>
      <c r="D12" s="140">
        <v>9.4999999999999998E-3</v>
      </c>
    </row>
    <row r="13" spans="1:4" ht="23.4">
      <c r="A13" s="138" t="s">
        <v>87</v>
      </c>
      <c r="B13" s="142">
        <v>0</v>
      </c>
      <c r="C13" s="140">
        <v>0</v>
      </c>
      <c r="D13" s="140">
        <v>0</v>
      </c>
    </row>
    <row r="14" spans="1:4" ht="23.4">
      <c r="A14" s="138" t="s">
        <v>88</v>
      </c>
      <c r="B14" s="142">
        <v>0</v>
      </c>
      <c r="C14" s="140">
        <v>0</v>
      </c>
      <c r="D14" s="140">
        <v>0</v>
      </c>
    </row>
    <row r="15" spans="1:4" ht="23.4">
      <c r="A15" s="138" t="s">
        <v>150</v>
      </c>
      <c r="B15" s="142">
        <v>84594.000000000015</v>
      </c>
      <c r="C15" s="140">
        <v>0.27507999999999999</v>
      </c>
      <c r="D15" s="140">
        <v>0</v>
      </c>
    </row>
    <row r="16" spans="1:4" ht="23.4">
      <c r="A16" s="144" t="s">
        <v>34</v>
      </c>
      <c r="B16" s="145">
        <v>0</v>
      </c>
      <c r="C16" s="146">
        <v>0.64721999999999991</v>
      </c>
      <c r="D16" s="140">
        <v>8.7420000000000012E-2</v>
      </c>
    </row>
    <row r="17" spans="1:4" ht="23.4">
      <c r="A17" s="144" t="s">
        <v>88</v>
      </c>
      <c r="B17" s="147">
        <v>0</v>
      </c>
      <c r="C17" s="146">
        <v>0</v>
      </c>
      <c r="D17" s="148">
        <v>0</v>
      </c>
    </row>
    <row r="18" spans="1:4" ht="23.4">
      <c r="A18" s="149" t="s">
        <v>150</v>
      </c>
      <c r="B18" s="147">
        <v>84594.000000000015</v>
      </c>
      <c r="C18" s="146">
        <v>0.27507999999999999</v>
      </c>
      <c r="D18" s="148">
        <v>0</v>
      </c>
    </row>
    <row r="19" spans="1:4" ht="23.4">
      <c r="A19" s="149" t="s">
        <v>151</v>
      </c>
      <c r="B19" s="147">
        <v>0</v>
      </c>
      <c r="C19" s="146">
        <v>0</v>
      </c>
      <c r="D19" s="148">
        <v>0</v>
      </c>
    </row>
    <row r="20" spans="1:4" ht="23.4">
      <c r="A20" s="149" t="s">
        <v>77</v>
      </c>
      <c r="B20" s="147">
        <v>8984.6156188053446</v>
      </c>
      <c r="C20" s="146">
        <v>0.475611905152591</v>
      </c>
      <c r="D20" s="148">
        <v>3.8720800833143276E-3</v>
      </c>
    </row>
    <row r="21" spans="1:4" ht="23.4">
      <c r="A21" s="149" t="s">
        <v>79</v>
      </c>
      <c r="B21" s="147">
        <v>38885.267060007645</v>
      </c>
      <c r="C21" s="146">
        <v>0.45806646065210826</v>
      </c>
      <c r="D21" s="148">
        <v>3.1504049302207245E-2</v>
      </c>
    </row>
    <row r="22" spans="1:4" ht="23.4">
      <c r="A22" s="149" t="s">
        <v>81</v>
      </c>
      <c r="B22" s="147">
        <v>0</v>
      </c>
      <c r="C22" s="146">
        <v>0</v>
      </c>
      <c r="D22" s="148">
        <v>0</v>
      </c>
    </row>
    <row r="23" spans="1:4" ht="23.4">
      <c r="A23" s="149" t="s">
        <v>152</v>
      </c>
      <c r="B23" s="147">
        <v>0</v>
      </c>
      <c r="C23" s="146">
        <v>0</v>
      </c>
      <c r="D23" s="148">
        <v>0</v>
      </c>
    </row>
    <row r="24" spans="1:4" ht="23.4">
      <c r="A24" s="149" t="s">
        <v>153</v>
      </c>
      <c r="B24" s="147">
        <v>0</v>
      </c>
      <c r="C24" s="146">
        <v>0</v>
      </c>
      <c r="D24" s="148">
        <v>0</v>
      </c>
    </row>
    <row r="25" spans="1:4" ht="23.4">
      <c r="A25" s="149" t="s">
        <v>154</v>
      </c>
      <c r="B25" s="147">
        <v>0</v>
      </c>
      <c r="C25" s="146">
        <v>0</v>
      </c>
      <c r="D25" s="148">
        <v>0</v>
      </c>
    </row>
    <row r="26" spans="1:4" ht="23.4">
      <c r="A26" s="149" t="s">
        <v>46</v>
      </c>
      <c r="B26" s="147">
        <v>56.862859799999995</v>
      </c>
      <c r="C26" s="146">
        <v>0.64721999999999991</v>
      </c>
      <c r="D26" s="148">
        <v>8.7420000000000012E-2</v>
      </c>
    </row>
    <row r="27" spans="1:4" ht="23.4">
      <c r="A27" s="149" t="s">
        <v>33</v>
      </c>
      <c r="B27" s="147">
        <v>1366.9568150000002</v>
      </c>
      <c r="C27" s="146">
        <v>0.64721999999999991</v>
      </c>
      <c r="D27" s="148">
        <v>8.7420000000000012E-2</v>
      </c>
    </row>
    <row r="28" spans="1:4" ht="23.4">
      <c r="A28" s="149" t="s">
        <v>146</v>
      </c>
      <c r="B28" s="147">
        <v>57667.0024815</v>
      </c>
      <c r="C28" s="146">
        <v>0.64721999999999991</v>
      </c>
      <c r="D28" s="148">
        <v>8.7420000000000012E-2</v>
      </c>
    </row>
    <row r="29" spans="1:4" ht="23.4">
      <c r="A29" s="149" t="s">
        <v>155</v>
      </c>
      <c r="B29" s="147">
        <v>0</v>
      </c>
      <c r="C29" s="146">
        <v>0</v>
      </c>
      <c r="D29" s="148">
        <v>8.7420000000000012E-2</v>
      </c>
    </row>
    <row r="30" spans="1:4" ht="23.4">
      <c r="A30" s="149" t="s">
        <v>37</v>
      </c>
      <c r="B30" s="147">
        <v>0</v>
      </c>
      <c r="C30" s="146">
        <v>0</v>
      </c>
      <c r="D30" s="148">
        <v>0</v>
      </c>
    </row>
    <row r="31" spans="1:4" ht="23.4">
      <c r="A31" s="149" t="s">
        <v>41</v>
      </c>
      <c r="B31" s="147">
        <v>0</v>
      </c>
      <c r="C31" s="146">
        <v>0</v>
      </c>
      <c r="D31" s="148">
        <v>0</v>
      </c>
    </row>
    <row r="32" spans="1:4" ht="23.4">
      <c r="A32" s="149" t="s">
        <v>156</v>
      </c>
      <c r="B32" s="147">
        <v>2218.75</v>
      </c>
      <c r="C32" s="146">
        <v>0.62729999999999997</v>
      </c>
      <c r="D32" s="148">
        <v>9.4999999999999998E-3</v>
      </c>
    </row>
    <row r="33" spans="1:10" ht="23.4">
      <c r="A33" s="150" t="s">
        <v>87</v>
      </c>
      <c r="B33" s="147">
        <v>0</v>
      </c>
      <c r="C33" s="151">
        <v>0</v>
      </c>
      <c r="D33" s="148">
        <v>0</v>
      </c>
    </row>
    <row r="34" spans="1:10" ht="23.4">
      <c r="A34" s="150" t="s">
        <v>88</v>
      </c>
      <c r="B34" s="147">
        <v>0</v>
      </c>
      <c r="C34" s="151">
        <v>0</v>
      </c>
      <c r="D34" s="148">
        <v>0</v>
      </c>
    </row>
    <row r="35" spans="1:10" ht="23.4">
      <c r="A35" s="150" t="s">
        <v>78</v>
      </c>
      <c r="B35" s="147">
        <v>26227.658940000001</v>
      </c>
      <c r="C35" s="151">
        <v>0.13613465622132345</v>
      </c>
      <c r="D35" s="148">
        <v>9.4269999999999993E-2</v>
      </c>
    </row>
    <row r="36" spans="1:10" ht="23.4">
      <c r="A36" s="150" t="s">
        <v>80</v>
      </c>
      <c r="B36" s="147">
        <v>10510.600000000004</v>
      </c>
      <c r="C36" s="151">
        <v>0.22291</v>
      </c>
      <c r="D36" s="148">
        <v>6.0279999999999993E-2</v>
      </c>
      <c r="J36" s="152"/>
    </row>
    <row r="37" spans="1:10" ht="23.4">
      <c r="A37" s="152" t="s">
        <v>82</v>
      </c>
      <c r="B37" s="147">
        <v>6710.5698827606684</v>
      </c>
      <c r="C37" s="151">
        <v>0.10962999999999999</v>
      </c>
      <c r="D37" s="148">
        <v>0</v>
      </c>
    </row>
    <row r="38" spans="1:10" ht="23.4">
      <c r="A38" s="152" t="s">
        <v>83</v>
      </c>
      <c r="B38" s="147">
        <v>27513</v>
      </c>
      <c r="C38" s="151">
        <v>0.11356999999999999</v>
      </c>
      <c r="D38" s="148">
        <v>0</v>
      </c>
    </row>
    <row r="39" spans="1:10" ht="23.4">
      <c r="A39" s="152" t="s">
        <v>157</v>
      </c>
      <c r="B39" s="145">
        <v>2197.671875</v>
      </c>
      <c r="C39" s="148">
        <v>0.62729999999999997</v>
      </c>
      <c r="D39" s="148">
        <v>9.4999999999999998E-3</v>
      </c>
    </row>
    <row r="40" spans="1:10" ht="23.4">
      <c r="A40" s="152" t="s">
        <v>158</v>
      </c>
      <c r="B40" s="145">
        <v>1643.1283700000001</v>
      </c>
      <c r="C40" s="148">
        <v>0.61599999999999999</v>
      </c>
      <c r="D40" s="148">
        <v>1.0700000000000001E-2</v>
      </c>
    </row>
    <row r="41" spans="1:10" ht="23.4">
      <c r="A41" s="152" t="s">
        <v>246</v>
      </c>
      <c r="B41" s="142">
        <v>1332.4064600000002</v>
      </c>
      <c r="C41" s="140">
        <v>0.53029999999999999</v>
      </c>
      <c r="D41" s="153">
        <v>1.6500000000000001E-2</v>
      </c>
    </row>
    <row r="42" spans="1:10" ht="23.4">
      <c r="A42" s="152" t="s">
        <v>159</v>
      </c>
      <c r="B42" s="145">
        <v>385.399608</v>
      </c>
      <c r="C42" s="140">
        <v>0.62829999999999997</v>
      </c>
      <c r="D42" s="153">
        <v>5.6000000000000008E-3</v>
      </c>
    </row>
    <row r="43" spans="1:10" ht="23.4">
      <c r="A43" s="149" t="s">
        <v>160</v>
      </c>
      <c r="B43" s="145">
        <v>358.36904999999996</v>
      </c>
      <c r="C43" s="140">
        <v>0.61520000000000008</v>
      </c>
      <c r="D43" s="153">
        <v>6.6E-3</v>
      </c>
    </row>
    <row r="44" spans="1:10" ht="23.4">
      <c r="A44" s="152" t="s">
        <v>161</v>
      </c>
      <c r="B44" s="145">
        <v>0</v>
      </c>
      <c r="C44" s="140">
        <v>0</v>
      </c>
      <c r="D44" s="153">
        <v>0</v>
      </c>
    </row>
    <row r="45" spans="1:10" ht="23.4">
      <c r="A45" s="152" t="s">
        <v>247</v>
      </c>
      <c r="B45" s="145">
        <v>0</v>
      </c>
      <c r="C45" s="140">
        <v>0</v>
      </c>
      <c r="D45" s="153">
        <v>0</v>
      </c>
    </row>
    <row r="46" spans="1:10" ht="23.4">
      <c r="A46" s="152" t="s">
        <v>164</v>
      </c>
      <c r="B46" s="142">
        <v>0</v>
      </c>
      <c r="C46" s="140">
        <v>0</v>
      </c>
      <c r="D46" s="153">
        <v>0</v>
      </c>
    </row>
    <row r="47" spans="1:10" ht="23.4">
      <c r="A47" s="152" t="s">
        <v>248</v>
      </c>
      <c r="B47" s="142">
        <v>67525.329610380009</v>
      </c>
      <c r="C47" s="140">
        <v>0.36306761026131695</v>
      </c>
      <c r="D47" s="153">
        <v>2.4990000000000002E-2</v>
      </c>
    </row>
    <row r="48" spans="1:10" ht="14.4">
      <c r="A48" t="s">
        <v>98</v>
      </c>
      <c r="B48" s="136">
        <v>39752.1642288</v>
      </c>
      <c r="C48" s="137">
        <v>0.40777000000000002</v>
      </c>
      <c r="D48">
        <v>4.6150000000000004E-2</v>
      </c>
    </row>
    <row r="49" spans="1:4" ht="14.4">
      <c r="A49" t="s">
        <v>100</v>
      </c>
      <c r="B49" s="136">
        <v>8740.6369392429478</v>
      </c>
      <c r="C49" s="137">
        <v>0.4769512832320203</v>
      </c>
      <c r="D49">
        <v>7.2247550127307436E-2</v>
      </c>
    </row>
    <row r="50" spans="1:4" ht="14.4">
      <c r="A50" t="s">
        <v>249</v>
      </c>
      <c r="B50" s="136">
        <v>77237.330308320001</v>
      </c>
      <c r="C50" s="137">
        <v>0.42029000000000005</v>
      </c>
      <c r="D50">
        <v>4.3589999999999997E-2</v>
      </c>
    </row>
    <row r="51" spans="1:4" ht="14.4"/>
    <row r="52" spans="1:4" ht="14.4"/>
    <row r="53" spans="1:4" ht="14.4"/>
    <row r="54" spans="1:4" ht="14.4"/>
    <row r="55" spans="1:4" ht="14.4"/>
    <row r="56" spans="1:4" ht="14.4"/>
    <row r="57" spans="1:4" ht="14.4"/>
    <row r="58" spans="1:4" ht="14.4"/>
    <row r="59" spans="1:4" ht="14.4"/>
    <row r="60" spans="1:4" ht="14.4"/>
    <row r="61" spans="1:4" ht="14.4"/>
    <row r="62" spans="1:4" ht="14.4"/>
    <row r="63" spans="1:4" ht="14.4"/>
    <row r="64" spans="1:4" ht="14.4"/>
    <row r="65" ht="14.4"/>
    <row r="66" ht="14.4"/>
    <row r="67" ht="14.4"/>
    <row r="68" ht="14.4"/>
    <row r="69" ht="14.4"/>
    <row r="70" ht="14.4"/>
    <row r="71" ht="14.4"/>
    <row r="72" ht="14.4"/>
    <row r="73" ht="14.4"/>
    <row r="74" ht="14.4"/>
    <row r="75" ht="14.4"/>
    <row r="76" ht="14.4"/>
    <row r="77" ht="14.4"/>
    <row r="78" ht="14.4"/>
    <row r="79" ht="14.4"/>
    <row r="80" ht="14.4"/>
    <row r="81" ht="14.4"/>
    <row r="82" ht="14.4"/>
    <row r="83" ht="14.4"/>
    <row r="84" ht="14.4"/>
    <row r="85" ht="14.4"/>
    <row r="86" ht="14.4"/>
    <row r="87" ht="14.4"/>
    <row r="88" ht="14.4"/>
    <row r="89" ht="14.4"/>
    <row r="90" ht="14.4"/>
    <row r="91" ht="14.4"/>
    <row r="92" ht="14.4"/>
    <row r="93" ht="14.4"/>
    <row r="94" ht="14.4"/>
    <row r="95" ht="14.4"/>
    <row r="96" ht="14.4"/>
    <row r="97" ht="14.4"/>
    <row r="98" ht="14.4"/>
    <row r="99" ht="14.4"/>
    <row r="100" ht="14.4"/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72"/>
  <sheetViews>
    <sheetView topLeftCell="B1" zoomScale="110" zoomScaleNormal="110" workbookViewId="0">
      <selection activeCell="G19" sqref="G19"/>
    </sheetView>
  </sheetViews>
  <sheetFormatPr baseColWidth="10" defaultColWidth="10.44140625" defaultRowHeight="15" customHeight="1"/>
  <cols>
    <col min="1" max="1" width="16.6640625" customWidth="1"/>
    <col min="2" max="2" width="53.5546875" customWidth="1"/>
    <col min="6" max="6" width="53" customWidth="1"/>
    <col min="7" max="7" width="23.77734375" customWidth="1"/>
    <col min="8" max="8" width="34" customWidth="1"/>
    <col min="13" max="14" width="16.44140625" customWidth="1"/>
  </cols>
  <sheetData>
    <row r="2" spans="2:17" ht="17.25" customHeight="1">
      <c r="B2" s="247" t="s">
        <v>165</v>
      </c>
      <c r="C2" s="247"/>
      <c r="D2" s="247"/>
      <c r="F2" s="247" t="s">
        <v>166</v>
      </c>
      <c r="G2" s="247"/>
      <c r="H2" s="247"/>
      <c r="J2" s="248" t="s">
        <v>167</v>
      </c>
      <c r="K2" s="248"/>
      <c r="L2" s="154"/>
      <c r="M2" s="155" t="s">
        <v>168</v>
      </c>
      <c r="N2" s="156" t="s">
        <v>169</v>
      </c>
    </row>
    <row r="3" spans="2:17" ht="18">
      <c r="B3" s="157" t="s">
        <v>170</v>
      </c>
      <c r="C3" s="157" t="s">
        <v>13</v>
      </c>
      <c r="D3" s="157" t="s">
        <v>30</v>
      </c>
      <c r="F3" s="157" t="s">
        <v>170</v>
      </c>
      <c r="G3" s="157" t="s">
        <v>13</v>
      </c>
      <c r="H3" s="157" t="s">
        <v>30</v>
      </c>
      <c r="J3" s="158" t="s">
        <v>171</v>
      </c>
      <c r="K3" s="158" t="s">
        <v>172</v>
      </c>
      <c r="L3" s="159"/>
      <c r="M3" s="160"/>
      <c r="N3" s="160"/>
    </row>
    <row r="4" spans="2:17" ht="18">
      <c r="B4" s="157" t="s">
        <v>173</v>
      </c>
      <c r="C4" s="161">
        <f>Utilidad!A1</f>
        <v>84594</v>
      </c>
      <c r="D4" s="162">
        <f>IF(Utilidad!C1&gt;1,Utilidad!C1/100,Utilidad!C1)</f>
        <v>0.27510000000000001</v>
      </c>
      <c r="F4" s="163" t="s">
        <v>173</v>
      </c>
      <c r="G4" s="164">
        <f>Utilidad!B1</f>
        <v>84594</v>
      </c>
      <c r="H4" s="165">
        <f>IF(Utilidad!D1&gt;1,Utilidad!D1/100,Utilidad!D1)</f>
        <v>0.2685050933</v>
      </c>
      <c r="J4" s="166">
        <f t="shared" ref="J4:J35" si="0">+IF(C4&lt;&gt;0,(G4-C4)/C4,ABS(G4-C4))</f>
        <v>0</v>
      </c>
      <c r="K4" s="166">
        <f t="shared" ref="K4:K35" si="1">+IF(D4&lt;&gt;0,(H4-D4)/D4,0)</f>
        <v>-2.3972761541257773E-2</v>
      </c>
      <c r="L4" s="167"/>
      <c r="M4" s="168">
        <f t="shared" ref="M4:M35" si="2">+IF(J4&lt;&gt;"",ABS(J4),0)</f>
        <v>0</v>
      </c>
      <c r="N4" s="168">
        <f t="shared" ref="N4:N35" si="3">+IF(J4&lt;&gt;"",ABS(K4),0)</f>
        <v>2.3972761541257773E-2</v>
      </c>
    </row>
    <row r="5" spans="2:17" ht="18">
      <c r="B5" s="157" t="s">
        <v>174</v>
      </c>
      <c r="C5" s="161">
        <f>Utilidad!A2</f>
        <v>0</v>
      </c>
      <c r="D5" s="162">
        <f>IF(Utilidad!C2&gt;1,Utilidad!C2/100,Utilidad!C2)</f>
        <v>0</v>
      </c>
      <c r="F5" s="163" t="s">
        <v>174</v>
      </c>
      <c r="G5" s="164">
        <f>Utilidad!B2</f>
        <v>0</v>
      </c>
      <c r="H5" s="165">
        <f>IF(Utilidad!D2&gt;1,Utilidad!D2/100,Utilidad!D2)</f>
        <v>0</v>
      </c>
      <c r="J5" s="166">
        <f t="shared" si="0"/>
        <v>0</v>
      </c>
      <c r="K5" s="166">
        <f t="shared" si="1"/>
        <v>0</v>
      </c>
      <c r="L5" s="167"/>
      <c r="M5" s="168">
        <f t="shared" si="2"/>
        <v>0</v>
      </c>
      <c r="N5" s="168">
        <f t="shared" si="3"/>
        <v>0</v>
      </c>
    </row>
    <row r="6" spans="2:17" ht="18">
      <c r="B6" s="157" t="s">
        <v>175</v>
      </c>
      <c r="C6" s="161">
        <f>Utilidad!A3</f>
        <v>26228</v>
      </c>
      <c r="D6" s="162">
        <f>IF(Utilidad!C3&gt;1,Utilidad!C3/100,Utilidad!C3)</f>
        <v>0.1361</v>
      </c>
      <c r="F6" s="163" t="s">
        <v>175</v>
      </c>
      <c r="G6" s="164">
        <f>Utilidad!B3</f>
        <v>28540</v>
      </c>
      <c r="H6" s="165">
        <f>IF(Utilidad!D3&gt;1,Utilidad!D3/100,Utilidad!D3)</f>
        <v>0.13664454575000001</v>
      </c>
      <c r="J6" s="166">
        <f t="shared" si="0"/>
        <v>8.8150068628946171E-2</v>
      </c>
      <c r="K6" s="166">
        <f t="shared" si="1"/>
        <v>4.0010709037473467E-3</v>
      </c>
      <c r="M6" s="168">
        <f t="shared" si="2"/>
        <v>8.8150068628946171E-2</v>
      </c>
      <c r="N6" s="168">
        <f t="shared" si="3"/>
        <v>4.0010709037473467E-3</v>
      </c>
    </row>
    <row r="7" spans="2:17" ht="18">
      <c r="B7" s="157" t="s">
        <v>176</v>
      </c>
      <c r="C7" s="161">
        <f>Utilidad!A4</f>
        <v>56054</v>
      </c>
      <c r="D7" s="162">
        <f>IF(Utilidad!C4&gt;1,Utilidad!C4/100,Utilidad!C4)</f>
        <v>0.34560000000000002</v>
      </c>
      <c r="F7" s="163" t="s">
        <v>176</v>
      </c>
      <c r="G7" s="164">
        <f>Utilidad!B4</f>
        <v>56054</v>
      </c>
      <c r="H7" s="165">
        <f>IF(Utilidad!D4&gt;1,Utilidad!D4/100,Utilidad!D4)</f>
        <v>0.33564214019999999</v>
      </c>
      <c r="J7" s="166">
        <f t="shared" si="0"/>
        <v>0</v>
      </c>
      <c r="K7" s="166">
        <f t="shared" si="1"/>
        <v>-2.881325173611118E-2</v>
      </c>
      <c r="M7" s="168">
        <f t="shared" si="2"/>
        <v>0</v>
      </c>
      <c r="N7" s="168">
        <f t="shared" si="3"/>
        <v>2.881325173611118E-2</v>
      </c>
    </row>
    <row r="8" spans="2:17" ht="18">
      <c r="B8" s="157" t="s">
        <v>177</v>
      </c>
      <c r="C8" s="161">
        <f>Utilidad!A5</f>
        <v>8985</v>
      </c>
      <c r="D8" s="162">
        <f>IF(Utilidad!C5&gt;1,Utilidad!C5/100,Utilidad!C5)</f>
        <v>0.47560000000000002</v>
      </c>
      <c r="F8" s="163" t="s">
        <v>177</v>
      </c>
      <c r="G8" s="161">
        <f>Utilidad!B5</f>
        <v>8985</v>
      </c>
      <c r="H8" s="169">
        <f>IF(Utilidad!D5&gt;1,Utilidad!D5/100,Utilidad!D5)</f>
        <v>0.47560000000000002</v>
      </c>
      <c r="J8" s="166">
        <f t="shared" si="0"/>
        <v>0</v>
      </c>
      <c r="K8" s="166">
        <f t="shared" si="1"/>
        <v>0</v>
      </c>
      <c r="M8" s="168">
        <f t="shared" si="2"/>
        <v>0</v>
      </c>
      <c r="N8" s="168">
        <f t="shared" si="3"/>
        <v>0</v>
      </c>
    </row>
    <row r="9" spans="2:17" ht="18">
      <c r="B9" s="157" t="s">
        <v>178</v>
      </c>
      <c r="C9" s="161">
        <f>Utilidad!A6</f>
        <v>-4166</v>
      </c>
      <c r="D9" s="162">
        <f>IF(Utilidad!C6&gt;1,Utilidad!C6/100,Utilidad!C6)</f>
        <v>0.36349999999999999</v>
      </c>
      <c r="F9" s="163" t="s">
        <v>178</v>
      </c>
      <c r="G9" s="161">
        <f>Utilidad!B6</f>
        <v>-2486</v>
      </c>
      <c r="H9" s="169">
        <f>IF(Utilidad!D6&gt;1,Utilidad!D6/100,Utilidad!D6)</f>
        <v>0.36267318895</v>
      </c>
      <c r="J9" s="166">
        <f t="shared" si="0"/>
        <v>-0.40326452232357179</v>
      </c>
      <c r="K9" s="166">
        <f t="shared" si="1"/>
        <v>-2.2745833562585614E-3</v>
      </c>
      <c r="M9" s="168">
        <f t="shared" si="2"/>
        <v>0.40326452232357179</v>
      </c>
      <c r="N9" s="168">
        <f t="shared" si="3"/>
        <v>2.2745833562585614E-3</v>
      </c>
      <c r="Q9">
        <f>G10-G14-G15</f>
        <v>17221</v>
      </c>
    </row>
    <row r="10" spans="2:17" ht="18">
      <c r="B10" s="157" t="s">
        <v>179</v>
      </c>
      <c r="C10" s="161">
        <f>Utilidad!A7</f>
        <v>67525</v>
      </c>
      <c r="D10" s="162">
        <f>IF(Utilidad!C7&gt;1,Utilidad!C7/100,Utilidad!C7)</f>
        <v>0.36310000000000003</v>
      </c>
      <c r="F10" s="157" t="s">
        <v>179</v>
      </c>
      <c r="G10" s="170">
        <f>Utilidad!B7</f>
        <v>67525</v>
      </c>
      <c r="H10" s="171">
        <f>IF(Utilidad!D7&gt;1,Utilidad!D7/100,Utilidad!D7)</f>
        <v>0.35526036392999999</v>
      </c>
      <c r="J10" s="166">
        <f t="shared" si="0"/>
        <v>0</v>
      </c>
      <c r="K10" s="166">
        <f t="shared" si="1"/>
        <v>-2.1590845689892713E-2</v>
      </c>
      <c r="M10" s="168">
        <f t="shared" si="2"/>
        <v>0</v>
      </c>
      <c r="N10" s="168">
        <f t="shared" si="3"/>
        <v>2.1590845689892713E-2</v>
      </c>
      <c r="Q10">
        <f>G13+G12</f>
        <v>17220.999999699998</v>
      </c>
    </row>
    <row r="11" spans="2:17" ht="18">
      <c r="B11" s="157" t="s">
        <v>180</v>
      </c>
      <c r="C11" s="161">
        <f>Utilidad!A8</f>
        <v>0</v>
      </c>
      <c r="D11" s="162">
        <f>IF(Utilidad!C8&gt;1,Utilidad!C8/100,Utilidad!C8)</f>
        <v>0</v>
      </c>
      <c r="F11" s="157" t="s">
        <v>180</v>
      </c>
      <c r="G11" s="170">
        <f>Utilidad!B8</f>
        <v>0</v>
      </c>
      <c r="H11" s="171">
        <f>IF(Utilidad!D8&gt;1,Utilidad!D8/100,Utilidad!D8)</f>
        <v>0</v>
      </c>
      <c r="J11" s="166">
        <f t="shared" si="0"/>
        <v>0</v>
      </c>
      <c r="K11" s="166">
        <f t="shared" si="1"/>
        <v>0</v>
      </c>
      <c r="M11" s="168">
        <f t="shared" si="2"/>
        <v>0</v>
      </c>
      <c r="N11" s="168">
        <f t="shared" si="3"/>
        <v>0</v>
      </c>
    </row>
    <row r="12" spans="2:17" ht="18">
      <c r="B12" s="157" t="s">
        <v>181</v>
      </c>
      <c r="C12" s="161">
        <f>Utilidad!A9</f>
        <v>10511</v>
      </c>
      <c r="D12" s="162">
        <f>IF(Utilidad!C9&gt;1,Utilidad!C9/100,Utilidad!C9)</f>
        <v>0.22289999999999999</v>
      </c>
      <c r="F12" s="157" t="s">
        <v>181</v>
      </c>
      <c r="G12" s="170">
        <f>Utilidad!B9</f>
        <v>10522.695793999999</v>
      </c>
      <c r="H12" s="171">
        <f>IF(Utilidad!D9&gt;1,Utilidad!D9/100,Utilidad!D9)</f>
        <v>0.22467656641</v>
      </c>
      <c r="J12" s="166">
        <f t="shared" si="0"/>
        <v>1.1127194367804487E-3</v>
      </c>
      <c r="K12" s="166">
        <f t="shared" si="1"/>
        <v>7.970239614176821E-3</v>
      </c>
      <c r="M12" s="168">
        <f t="shared" si="2"/>
        <v>1.1127194367804487E-3</v>
      </c>
      <c r="N12" s="168">
        <f t="shared" si="3"/>
        <v>7.970239614176821E-3</v>
      </c>
    </row>
    <row r="13" spans="2:17" ht="18">
      <c r="B13" s="157" t="s">
        <v>97</v>
      </c>
      <c r="C13" s="161">
        <f>Utilidad!A10</f>
        <v>6711</v>
      </c>
      <c r="D13" s="162">
        <f>IF(Utilidad!C10&gt;1,Utilidad!C10/100,Utilidad!C10)</f>
        <v>0.1096</v>
      </c>
      <c r="F13" s="163" t="s">
        <v>97</v>
      </c>
      <c r="G13" s="170">
        <f>Utilidad!B10</f>
        <v>6698.3042057000002</v>
      </c>
      <c r="H13" s="171">
        <f>IF(Utilidad!D10&gt;1,Utilidad!D10/100,Utilidad!D10)</f>
        <v>0.10987340284</v>
      </c>
      <c r="J13" s="166">
        <f t="shared" si="0"/>
        <v>-1.891788749813703E-3</v>
      </c>
      <c r="K13" s="166">
        <f t="shared" si="1"/>
        <v>2.4945514598539429E-3</v>
      </c>
      <c r="M13" s="168">
        <f t="shared" si="2"/>
        <v>1.891788749813703E-3</v>
      </c>
      <c r="N13" s="168">
        <f t="shared" si="3"/>
        <v>2.4945514598539429E-3</v>
      </c>
    </row>
    <row r="14" spans="2:17" ht="18">
      <c r="B14" s="157" t="s">
        <v>98</v>
      </c>
      <c r="C14" s="161">
        <f>Utilidad!A11</f>
        <v>39752</v>
      </c>
      <c r="D14" s="162">
        <f>IF(Utilidad!C11&gt;1,Utilidad!C11/100,Utilidad!C11)</f>
        <v>0.4078</v>
      </c>
      <c r="F14" s="157" t="s">
        <v>98</v>
      </c>
      <c r="G14" s="170">
        <f>Utilidad!B11</f>
        <v>39752</v>
      </c>
      <c r="H14" s="171">
        <f>IF(Utilidad!D11&gt;1,Utilidad!D11/100,Utilidad!D11)</f>
        <v>0.39823324780000002</v>
      </c>
      <c r="J14" s="166">
        <f t="shared" si="0"/>
        <v>0</v>
      </c>
      <c r="K14" s="166">
        <f t="shared" si="1"/>
        <v>-2.3459421775380022E-2</v>
      </c>
      <c r="M14" s="168">
        <f t="shared" si="2"/>
        <v>0</v>
      </c>
      <c r="N14" s="168">
        <f t="shared" si="3"/>
        <v>2.3459421775380022E-2</v>
      </c>
    </row>
    <row r="15" spans="2:17" ht="18">
      <c r="B15" s="157" t="s">
        <v>99</v>
      </c>
      <c r="C15" s="161">
        <f>Utilidad!A12</f>
        <v>10552</v>
      </c>
      <c r="D15" s="162">
        <f>IF(Utilidad!C12&gt;1,Utilidad!C12/100,Utilidad!C12)</f>
        <v>0.48259999999999997</v>
      </c>
      <c r="F15" s="163" t="s">
        <v>99</v>
      </c>
      <c r="G15" s="170">
        <f>Utilidad!B12</f>
        <v>10552</v>
      </c>
      <c r="H15" s="171">
        <f>IF(Utilidad!D12&gt;1,Utilidad!D12/100,Utilidad!D12)</f>
        <v>0.47936119890000001</v>
      </c>
      <c r="J15" s="166">
        <f t="shared" si="0"/>
        <v>0</v>
      </c>
      <c r="K15" s="166">
        <f t="shared" si="1"/>
        <v>-6.7111502279319649E-3</v>
      </c>
      <c r="M15" s="168">
        <f t="shared" si="2"/>
        <v>0</v>
      </c>
      <c r="N15" s="168">
        <f t="shared" si="3"/>
        <v>6.7111502279319649E-3</v>
      </c>
    </row>
    <row r="16" spans="2:17" ht="18">
      <c r="B16" s="157" t="s">
        <v>100</v>
      </c>
      <c r="C16" s="161">
        <f>Utilidad!A13</f>
        <v>8741</v>
      </c>
      <c r="D16" s="162">
        <f>IF(Utilidad!C13&gt;1,Utilidad!C13/100,Utilidad!C13)</f>
        <v>0.47700000000000004</v>
      </c>
      <c r="F16" s="157" t="s">
        <v>100</v>
      </c>
      <c r="G16" s="172">
        <f>Utilidad!B13</f>
        <v>8741</v>
      </c>
      <c r="H16" s="173">
        <f>IF(Utilidad!D13&gt;1,Utilidad!D13/100,Utilidad!D13)</f>
        <v>0.47725728480000001</v>
      </c>
      <c r="I16">
        <f>(G14*H14+G15*H15)/(G14+G15)*100</f>
        <v>41.525102252978691</v>
      </c>
      <c r="J16" s="166">
        <f t="shared" si="0"/>
        <v>0</v>
      </c>
      <c r="K16" s="166">
        <f t="shared" si="1"/>
        <v>5.3938113207542852E-4</v>
      </c>
      <c r="M16" s="168">
        <f t="shared" si="2"/>
        <v>0</v>
      </c>
      <c r="N16" s="168">
        <f t="shared" si="3"/>
        <v>5.3938113207542852E-4</v>
      </c>
    </row>
    <row r="17" spans="2:14" ht="18">
      <c r="B17" s="157" t="s">
        <v>101</v>
      </c>
      <c r="C17" s="161">
        <f>Utilidad!A14</f>
        <v>-8730</v>
      </c>
      <c r="D17" s="162">
        <f>IF(Utilidad!C14&gt;1,Utilidad!C14/100,Utilidad!C14)</f>
        <v>0.43259999999999998</v>
      </c>
      <c r="F17" s="157" t="s">
        <v>101</v>
      </c>
      <c r="G17" s="172">
        <f>Utilidad!B14</f>
        <v>-7341</v>
      </c>
      <c r="H17" s="173">
        <f>IF(Utilidad!D14&gt;1,Utilidad!D14/100,Utilidad!D14)</f>
        <v>0.42594300764000004</v>
      </c>
      <c r="J17" s="166">
        <f t="shared" si="0"/>
        <v>-0.15910652920962198</v>
      </c>
      <c r="K17" s="166">
        <f t="shared" si="1"/>
        <v>-1.5388331853906489E-2</v>
      </c>
      <c r="M17" s="168">
        <f t="shared" si="2"/>
        <v>0.15910652920962198</v>
      </c>
      <c r="N17" s="168">
        <f t="shared" si="3"/>
        <v>1.5388331853906489E-2</v>
      </c>
    </row>
    <row r="18" spans="2:14" ht="18">
      <c r="B18" s="157" t="s">
        <v>102</v>
      </c>
      <c r="C18" s="161">
        <f>Utilidad!A15</f>
        <v>77237</v>
      </c>
      <c r="D18" s="162">
        <f>IF(Utilidad!C15&gt;1,Utilidad!C15/100,Utilidad!C15)</f>
        <v>0.42030000000000001</v>
      </c>
      <c r="F18" s="163" t="s">
        <v>102</v>
      </c>
      <c r="G18" s="172">
        <f>Utilidad!B15</f>
        <v>77237</v>
      </c>
      <c r="H18" s="173">
        <f>IF(Utilidad!D15&gt;1,Utilidad!D15/100,Utilidad!D15)</f>
        <v>0.42206362572000006</v>
      </c>
      <c r="J18" s="166">
        <f t="shared" si="0"/>
        <v>0</v>
      </c>
      <c r="K18" s="166">
        <f t="shared" si="1"/>
        <v>4.1961116345468723E-3</v>
      </c>
      <c r="M18" s="168">
        <f t="shared" si="2"/>
        <v>0</v>
      </c>
      <c r="N18" s="168">
        <f t="shared" si="3"/>
        <v>4.1961116345468723E-3</v>
      </c>
    </row>
    <row r="19" spans="2:14" ht="18">
      <c r="B19" s="157" t="s">
        <v>103</v>
      </c>
      <c r="C19" s="161">
        <f>Utilidad!A16</f>
        <v>27513</v>
      </c>
      <c r="D19" s="162">
        <f>IF(Utilidad!C16&gt;1,Utilidad!C16/100,Utilidad!C16)</f>
        <v>0.11359999999999999</v>
      </c>
      <c r="F19" s="163" t="s">
        <v>103</v>
      </c>
      <c r="G19" s="172">
        <f>Utilidad!B16</f>
        <v>38863</v>
      </c>
      <c r="H19" s="173">
        <f>IF(Utilidad!D16&gt;1,Utilidad!D16/100,Utilidad!D16)</f>
        <v>0.11596560113000001</v>
      </c>
      <c r="J19" s="166">
        <f t="shared" si="0"/>
        <v>0.41253225747828298</v>
      </c>
      <c r="K19" s="166">
        <f t="shared" si="1"/>
        <v>2.0823953609155104E-2</v>
      </c>
      <c r="M19" s="168">
        <f t="shared" si="2"/>
        <v>0.41253225747828298</v>
      </c>
      <c r="N19" s="168">
        <f t="shared" si="3"/>
        <v>2.0823953609155104E-2</v>
      </c>
    </row>
    <row r="20" spans="2:14" ht="18">
      <c r="B20" s="157" t="s">
        <v>106</v>
      </c>
      <c r="C20" s="161">
        <f>Utilidad!A17</f>
        <v>57667</v>
      </c>
      <c r="D20" s="162">
        <f>IF(Utilidad!C17&gt;1,Utilidad!C17/100,Utilidad!C17)</f>
        <v>0.6472</v>
      </c>
      <c r="F20" s="163" t="s">
        <v>106</v>
      </c>
      <c r="G20" s="172">
        <f>Utilidad!B17</f>
        <v>57667</v>
      </c>
      <c r="H20" s="173">
        <f>IF(Utilidad!D17&gt;1,Utilidad!D17/100,Utilidad!D17)</f>
        <v>0.6472</v>
      </c>
      <c r="J20" s="166">
        <f t="shared" si="0"/>
        <v>0</v>
      </c>
      <c r="K20" s="166">
        <f t="shared" si="1"/>
        <v>0</v>
      </c>
      <c r="M20" s="168">
        <f t="shared" si="2"/>
        <v>0</v>
      </c>
      <c r="N20" s="168">
        <f t="shared" si="3"/>
        <v>0</v>
      </c>
    </row>
    <row r="21" spans="2:14" ht="18">
      <c r="B21" s="157" t="s">
        <v>107</v>
      </c>
      <c r="C21" s="161">
        <f>Utilidad!A18</f>
        <v>-10255</v>
      </c>
      <c r="D21" s="162">
        <f>IF(Utilidad!C18&gt;1,Utilidad!C18/100,Utilidad!C18)</f>
        <v>0.6472</v>
      </c>
      <c r="F21" s="157" t="s">
        <v>107</v>
      </c>
      <c r="G21" s="161">
        <f>Utilidad!B18</f>
        <v>-10255</v>
      </c>
      <c r="H21" s="169">
        <f>IF(Utilidad!D18&gt;1,Utilidad!D18/100,Utilidad!D18)</f>
        <v>0.64722048219000006</v>
      </c>
      <c r="J21" s="166">
        <f t="shared" si="0"/>
        <v>0</v>
      </c>
      <c r="K21" s="166">
        <f t="shared" si="1"/>
        <v>3.1647388751637168E-5</v>
      </c>
      <c r="M21" s="168">
        <f t="shared" si="2"/>
        <v>0</v>
      </c>
      <c r="N21" s="168">
        <f t="shared" si="3"/>
        <v>3.1647388751637168E-5</v>
      </c>
    </row>
    <row r="22" spans="2:14" ht="18">
      <c r="B22" s="157" t="s">
        <v>108</v>
      </c>
      <c r="C22" s="161">
        <f>Utilidad!A19</f>
        <v>0</v>
      </c>
      <c r="D22" s="162">
        <f>IF(Utilidad!C19&gt;1,Utilidad!C19/100,Utilidad!C19)</f>
        <v>0</v>
      </c>
      <c r="F22" s="157" t="s">
        <v>108</v>
      </c>
      <c r="G22" s="161">
        <f>Utilidad!B19</f>
        <v>0</v>
      </c>
      <c r="H22" s="169">
        <f>IF(Utilidad!D19&gt;1,Utilidad!D19/100,Utilidad!D19)</f>
        <v>0</v>
      </c>
      <c r="J22" s="166">
        <f t="shared" si="0"/>
        <v>0</v>
      </c>
      <c r="K22" s="166">
        <f t="shared" si="1"/>
        <v>0</v>
      </c>
      <c r="M22" s="168">
        <f t="shared" si="2"/>
        <v>0</v>
      </c>
      <c r="N22" s="168">
        <f t="shared" si="3"/>
        <v>0</v>
      </c>
    </row>
    <row r="23" spans="2:14" ht="18">
      <c r="B23" s="157" t="s">
        <v>109</v>
      </c>
      <c r="C23" s="161">
        <f>Utilidad!A20</f>
        <v>67922</v>
      </c>
      <c r="D23" s="162">
        <f>IF(Utilidad!C20&gt;1,Utilidad!C20/100,Utilidad!C20)</f>
        <v>0.6472</v>
      </c>
      <c r="F23" s="157" t="s">
        <v>109</v>
      </c>
      <c r="G23" s="161">
        <f>Utilidad!B20</f>
        <v>67922</v>
      </c>
      <c r="H23" s="169">
        <f>IF(Utilidad!D20&gt;1,Utilidad!D20/100,Utilidad!D20)</f>
        <v>0.64720309244000007</v>
      </c>
      <c r="J23" s="166">
        <f t="shared" si="0"/>
        <v>0</v>
      </c>
      <c r="K23" s="166">
        <f t="shared" si="1"/>
        <v>4.7781829420183065E-6</v>
      </c>
      <c r="M23" s="168">
        <f t="shared" si="2"/>
        <v>0</v>
      </c>
      <c r="N23" s="168">
        <f t="shared" si="3"/>
        <v>4.7781829420183065E-6</v>
      </c>
    </row>
    <row r="24" spans="2:14" ht="18">
      <c r="B24" s="157" t="s">
        <v>110</v>
      </c>
      <c r="C24" s="161">
        <f>Utilidad!A21</f>
        <v>1358</v>
      </c>
      <c r="D24" s="162">
        <f>IF(Utilidad!C21&gt;1,Utilidad!C21/100,Utilidad!C21)</f>
        <v>0.6472</v>
      </c>
      <c r="F24" s="157" t="s">
        <v>110</v>
      </c>
      <c r="G24" s="161">
        <f>Utilidad!B21</f>
        <v>1358</v>
      </c>
      <c r="H24" s="169">
        <f>IF(Utilidad!D21&gt;1,Utilidad!D21/100,Utilidad!D21)</f>
        <v>0.64723202573999994</v>
      </c>
      <c r="J24" s="166">
        <f t="shared" si="0"/>
        <v>0</v>
      </c>
      <c r="K24" s="166">
        <f t="shared" si="1"/>
        <v>4.9483529048116954E-5</v>
      </c>
      <c r="M24" s="168">
        <f t="shared" si="2"/>
        <v>0</v>
      </c>
      <c r="N24" s="168">
        <f t="shared" si="3"/>
        <v>4.9483529048116954E-5</v>
      </c>
    </row>
    <row r="25" spans="2:14" ht="18">
      <c r="B25" s="157" t="s">
        <v>111</v>
      </c>
      <c r="C25" s="161">
        <f>Utilidad!A22</f>
        <v>66563</v>
      </c>
      <c r="D25" s="162">
        <f>IF(Utilidad!C22&gt;1,Utilidad!C22/100,Utilidad!C22)</f>
        <v>0.6472</v>
      </c>
      <c r="F25" s="157" t="s">
        <v>111</v>
      </c>
      <c r="G25" s="161">
        <f>Utilidad!B22</f>
        <v>66563</v>
      </c>
      <c r="H25" s="169">
        <f>IF(Utilidad!D22&gt;1,Utilidad!D22/100,Utilidad!D22)</f>
        <v>0.64721222532</v>
      </c>
      <c r="J25" s="166">
        <f t="shared" si="0"/>
        <v>0</v>
      </c>
      <c r="K25" s="166">
        <f t="shared" si="1"/>
        <v>1.888955500618559E-5</v>
      </c>
      <c r="M25" s="168">
        <f t="shared" si="2"/>
        <v>0</v>
      </c>
      <c r="N25" s="168">
        <f t="shared" si="3"/>
        <v>1.888955500618559E-5</v>
      </c>
    </row>
    <row r="26" spans="2:14" ht="18">
      <c r="B26" s="157" t="s">
        <v>112</v>
      </c>
      <c r="C26" s="161">
        <f>Utilidad!A23</f>
        <v>66506</v>
      </c>
      <c r="D26" s="162">
        <f>IF(Utilidad!C23&gt;1,Utilidad!C23/100,Utilidad!C23)</f>
        <v>0.6472</v>
      </c>
      <c r="F26" s="157" t="s">
        <v>112</v>
      </c>
      <c r="G26" s="161">
        <f>Utilidad!B23</f>
        <v>66506</v>
      </c>
      <c r="H26" s="169">
        <f>IF(Utilidad!D23&gt;1,Utilidad!D23/100,Utilidad!D23)</f>
        <v>0.64721223579999998</v>
      </c>
      <c r="J26" s="166">
        <f t="shared" si="0"/>
        <v>0</v>
      </c>
      <c r="K26" s="166">
        <f t="shared" si="1"/>
        <v>1.8905747836808182E-5</v>
      </c>
      <c r="M26" s="168">
        <f t="shared" si="2"/>
        <v>0</v>
      </c>
      <c r="N26" s="168">
        <f t="shared" si="3"/>
        <v>1.8905747836808182E-5</v>
      </c>
    </row>
    <row r="27" spans="2:14" ht="18">
      <c r="B27" s="157" t="s">
        <v>113</v>
      </c>
      <c r="C27" s="161">
        <f>Utilidad!A24</f>
        <v>0</v>
      </c>
      <c r="D27" s="162">
        <f>IF(Utilidad!C24&gt;1,Utilidad!C24/100,Utilidad!C24)</f>
        <v>0</v>
      </c>
      <c r="F27" s="157" t="s">
        <v>113</v>
      </c>
      <c r="G27" s="161">
        <f>Utilidad!B24</f>
        <v>0</v>
      </c>
      <c r="H27" s="169">
        <f>IF(Utilidad!D24&gt;1,Utilidad!D24/100,Utilidad!D24)</f>
        <v>0</v>
      </c>
      <c r="J27" s="166">
        <f t="shared" si="0"/>
        <v>0</v>
      </c>
      <c r="K27" s="166">
        <f t="shared" si="1"/>
        <v>0</v>
      </c>
      <c r="M27" s="168">
        <f t="shared" si="2"/>
        <v>0</v>
      </c>
      <c r="N27" s="168">
        <f t="shared" si="3"/>
        <v>0</v>
      </c>
    </row>
    <row r="28" spans="2:14" ht="18">
      <c r="B28" s="157" t="s">
        <v>114</v>
      </c>
      <c r="C28" s="161">
        <f>Utilidad!A25</f>
        <v>0</v>
      </c>
      <c r="D28" s="162">
        <f>IF(Utilidad!C25&gt;1,Utilidad!C25/100,Utilidad!C25)</f>
        <v>0</v>
      </c>
      <c r="F28" s="157" t="s">
        <v>114</v>
      </c>
      <c r="G28" s="161">
        <f>Utilidad!B25</f>
        <v>0</v>
      </c>
      <c r="H28" s="169">
        <f>IF(Utilidad!D25&gt;1,Utilidad!D25/100,Utilidad!D25)</f>
        <v>0</v>
      </c>
      <c r="J28" s="166">
        <f t="shared" si="0"/>
        <v>0</v>
      </c>
      <c r="K28" s="166">
        <f t="shared" si="1"/>
        <v>0</v>
      </c>
      <c r="M28" s="168">
        <f t="shared" si="2"/>
        <v>0</v>
      </c>
      <c r="N28" s="168">
        <f t="shared" si="3"/>
        <v>0</v>
      </c>
    </row>
    <row r="29" spans="2:14" ht="18">
      <c r="B29" s="157" t="s">
        <v>115</v>
      </c>
      <c r="C29" s="161">
        <f>Utilidad!A26</f>
        <v>0</v>
      </c>
      <c r="D29" s="162">
        <f>IF(Utilidad!C26&gt;1,Utilidad!C26/100,Utilidad!C26)</f>
        <v>0</v>
      </c>
      <c r="F29" s="157" t="s">
        <v>115</v>
      </c>
      <c r="G29" s="161">
        <f>Utilidad!B26</f>
        <v>0</v>
      </c>
      <c r="H29" s="169">
        <f>IF(Utilidad!D26&gt;1,Utilidad!D26/100,Utilidad!D26)</f>
        <v>0</v>
      </c>
      <c r="J29" s="166">
        <f t="shared" si="0"/>
        <v>0</v>
      </c>
      <c r="K29" s="166">
        <f t="shared" si="1"/>
        <v>0</v>
      </c>
      <c r="M29" s="168">
        <f t="shared" si="2"/>
        <v>0</v>
      </c>
      <c r="N29" s="168">
        <f t="shared" si="3"/>
        <v>0</v>
      </c>
    </row>
    <row r="30" spans="2:14" ht="18">
      <c r="B30" s="157" t="s">
        <v>116</v>
      </c>
      <c r="C30" s="161">
        <f>Utilidad!A27</f>
        <v>0</v>
      </c>
      <c r="D30" s="162">
        <f>IF(Utilidad!C27&gt;1,Utilidad!C27/100,Utilidad!C27)</f>
        <v>0</v>
      </c>
      <c r="F30" s="157" t="s">
        <v>116</v>
      </c>
      <c r="G30" s="161">
        <f>Utilidad!B27</f>
        <v>0</v>
      </c>
      <c r="H30" s="169">
        <f>IF(Utilidad!D27&gt;1,Utilidad!D27/100,Utilidad!D27)</f>
        <v>0</v>
      </c>
      <c r="J30" s="166">
        <f t="shared" si="0"/>
        <v>0</v>
      </c>
      <c r="K30" s="166">
        <f t="shared" si="1"/>
        <v>0</v>
      </c>
      <c r="M30" s="168">
        <f t="shared" si="2"/>
        <v>0</v>
      </c>
      <c r="N30" s="168">
        <f t="shared" si="3"/>
        <v>0</v>
      </c>
    </row>
    <row r="31" spans="2:14" ht="18">
      <c r="B31" s="157" t="s">
        <v>117</v>
      </c>
      <c r="C31" s="161">
        <f>Utilidad!A28</f>
        <v>0</v>
      </c>
      <c r="D31" s="162">
        <f>IF(Utilidad!C28&gt;1,Utilidad!C28/100,Utilidad!C28)</f>
        <v>0</v>
      </c>
      <c r="F31" s="157" t="s">
        <v>117</v>
      </c>
      <c r="G31" s="161">
        <f>Utilidad!B28</f>
        <v>0</v>
      </c>
      <c r="H31" s="169">
        <f>IF(Utilidad!D28&gt;1,Utilidad!D28/100,Utilidad!D28)</f>
        <v>0</v>
      </c>
      <c r="J31" s="166">
        <f t="shared" si="0"/>
        <v>0</v>
      </c>
      <c r="K31" s="166">
        <f t="shared" si="1"/>
        <v>0</v>
      </c>
      <c r="M31" s="168">
        <f t="shared" si="2"/>
        <v>0</v>
      </c>
      <c r="N31" s="168">
        <f t="shared" si="3"/>
        <v>0</v>
      </c>
    </row>
    <row r="32" spans="2:14" ht="18">
      <c r="B32" s="157" t="s">
        <v>118</v>
      </c>
      <c r="C32" s="161">
        <f>Utilidad!A29</f>
        <v>0</v>
      </c>
      <c r="D32" s="162">
        <f>IF(Utilidad!C29&gt;1,Utilidad!C29/100,Utilidad!C29)</f>
        <v>0</v>
      </c>
      <c r="F32" s="157" t="s">
        <v>118</v>
      </c>
      <c r="G32" s="161">
        <f>Utilidad!B29</f>
        <v>0</v>
      </c>
      <c r="H32" s="169">
        <f>IF(Utilidad!D29&gt;1,Utilidad!D29/100,Utilidad!D29)</f>
        <v>0</v>
      </c>
      <c r="J32" s="166">
        <f t="shared" si="0"/>
        <v>0</v>
      </c>
      <c r="K32" s="166">
        <f t="shared" si="1"/>
        <v>0</v>
      </c>
      <c r="M32" s="168">
        <f t="shared" si="2"/>
        <v>0</v>
      </c>
      <c r="N32" s="168">
        <f t="shared" si="3"/>
        <v>0</v>
      </c>
    </row>
    <row r="33" spans="2:14" ht="18">
      <c r="B33" s="157" t="s">
        <v>119</v>
      </c>
      <c r="C33" s="161">
        <f>Utilidad!A30</f>
        <v>0</v>
      </c>
      <c r="D33" s="162">
        <f>IF(Utilidad!C30&gt;1,Utilidad!C30/100,Utilidad!C30)</f>
        <v>0</v>
      </c>
      <c r="F33" s="157" t="s">
        <v>119</v>
      </c>
      <c r="G33" s="161">
        <f>Utilidad!B30</f>
        <v>0</v>
      </c>
      <c r="H33" s="169">
        <f>IF(Utilidad!D30&gt;1,Utilidad!D30/100,Utilidad!D30)</f>
        <v>0</v>
      </c>
      <c r="J33" s="166">
        <f t="shared" si="0"/>
        <v>0</v>
      </c>
      <c r="K33" s="166">
        <f t="shared" si="1"/>
        <v>0</v>
      </c>
      <c r="M33" s="168">
        <f t="shared" si="2"/>
        <v>0</v>
      </c>
      <c r="N33" s="168">
        <f t="shared" si="3"/>
        <v>0</v>
      </c>
    </row>
    <row r="34" spans="2:14" ht="18">
      <c r="B34" s="157" t="s">
        <v>120</v>
      </c>
      <c r="C34" s="161">
        <f>Utilidad!A31</f>
        <v>4585</v>
      </c>
      <c r="D34" s="162">
        <f>IF(Utilidad!C31&gt;1,Utilidad!C31/100,Utilidad!C31)</f>
        <v>0.62170000000000003</v>
      </c>
      <c r="F34" s="157" t="s">
        <v>120</v>
      </c>
      <c r="G34" s="161">
        <f>Utilidad!B31</f>
        <v>4584</v>
      </c>
      <c r="H34" s="169">
        <f>IF(Utilidad!D31&gt;1,Utilidad!D31/100,Utilidad!D31)</f>
        <v>0.62238885252999998</v>
      </c>
      <c r="J34" s="166">
        <f t="shared" si="0"/>
        <v>-2.1810250817884405E-4</v>
      </c>
      <c r="K34" s="166">
        <f t="shared" si="1"/>
        <v>1.108014363841001E-3</v>
      </c>
      <c r="M34" s="168">
        <f t="shared" si="2"/>
        <v>2.1810250817884405E-4</v>
      </c>
      <c r="N34" s="168">
        <f t="shared" si="3"/>
        <v>1.108014363841001E-3</v>
      </c>
    </row>
    <row r="35" spans="2:14" ht="18">
      <c r="B35" s="157" t="s">
        <v>121</v>
      </c>
      <c r="C35" s="161">
        <f>Utilidad!A32</f>
        <v>0</v>
      </c>
      <c r="D35" s="162">
        <f>IF(Utilidad!C32&gt;1,Utilidad!C32/100,Utilidad!C32)</f>
        <v>0</v>
      </c>
      <c r="F35" s="157" t="s">
        <v>121</v>
      </c>
      <c r="G35" s="161">
        <f>Utilidad!B32</f>
        <v>0</v>
      </c>
      <c r="H35" s="169">
        <f>IF(Utilidad!D32&gt;1,Utilidad!D32/100,Utilidad!D32)</f>
        <v>0</v>
      </c>
      <c r="J35" s="166">
        <f t="shared" si="0"/>
        <v>0</v>
      </c>
      <c r="K35" s="166">
        <f t="shared" si="1"/>
        <v>0</v>
      </c>
      <c r="M35" s="168">
        <f t="shared" si="2"/>
        <v>0</v>
      </c>
      <c r="N35" s="168">
        <f t="shared" si="3"/>
        <v>0</v>
      </c>
    </row>
    <row r="36" spans="2:14" ht="18">
      <c r="B36" s="157" t="s">
        <v>122</v>
      </c>
      <c r="C36" s="161">
        <f>Utilidad!A33</f>
        <v>0</v>
      </c>
      <c r="D36" s="162">
        <f>IF(Utilidad!C33&gt;1,Utilidad!C33/100,Utilidad!C33)</f>
        <v>0</v>
      </c>
      <c r="F36" s="157" t="s">
        <v>122</v>
      </c>
      <c r="G36" s="161">
        <f>Utilidad!B33</f>
        <v>0</v>
      </c>
      <c r="H36" s="169">
        <f>IF(Utilidad!D33&gt;1,Utilidad!D33/100,Utilidad!D33)</f>
        <v>0</v>
      </c>
      <c r="J36" s="166">
        <f t="shared" ref="J36:J72" si="4">+IF(C36&lt;&gt;0,(G36-C36)/C36,ABS(G36-C36))</f>
        <v>0</v>
      </c>
      <c r="K36" s="166">
        <f t="shared" ref="K36:K72" si="5">+IF(D36&lt;&gt;0,(H36-D36)/D36,0)</f>
        <v>0</v>
      </c>
      <c r="M36" s="168">
        <f t="shared" ref="M36:M72" si="6">+IF(J36&lt;&gt;"",ABS(J36),0)</f>
        <v>0</v>
      </c>
      <c r="N36" s="168">
        <f t="shared" ref="N36:N72" si="7">+IF(J36&lt;&gt;"",ABS(K36),0)</f>
        <v>0</v>
      </c>
    </row>
    <row r="37" spans="2:14" ht="18">
      <c r="B37" s="157" t="s">
        <v>123</v>
      </c>
      <c r="C37" s="161">
        <f>Utilidad!A34</f>
        <v>0</v>
      </c>
      <c r="D37" s="162">
        <f>IF(Utilidad!C34&gt;1,Utilidad!C34/100,Utilidad!C34)</f>
        <v>0</v>
      </c>
      <c r="F37" s="157" t="s">
        <v>123</v>
      </c>
      <c r="G37" s="161">
        <f>Utilidad!B34</f>
        <v>0</v>
      </c>
      <c r="H37" s="169">
        <f>IF(Utilidad!D34&gt;1,Utilidad!D34/100,Utilidad!D34)</f>
        <v>0</v>
      </c>
      <c r="J37" s="166">
        <f t="shared" si="4"/>
        <v>0</v>
      </c>
      <c r="K37" s="166">
        <f t="shared" si="5"/>
        <v>0</v>
      </c>
      <c r="M37" s="168">
        <f t="shared" si="6"/>
        <v>0</v>
      </c>
      <c r="N37" s="168">
        <f t="shared" si="7"/>
        <v>0</v>
      </c>
    </row>
    <row r="38" spans="2:14" ht="18">
      <c r="B38" s="157" t="s">
        <v>124</v>
      </c>
      <c r="C38" s="161">
        <f>Utilidad!A35</f>
        <v>0</v>
      </c>
      <c r="D38" s="162">
        <f>IF(Utilidad!C35&gt;1,Utilidad!C35/100,Utilidad!C35)</f>
        <v>0</v>
      </c>
      <c r="F38" s="157" t="s">
        <v>124</v>
      </c>
      <c r="G38" s="161">
        <f>Utilidad!B35</f>
        <v>0</v>
      </c>
      <c r="H38" s="169">
        <f>IF(Utilidad!D35&gt;1,Utilidad!D35/100,Utilidad!D35)</f>
        <v>0</v>
      </c>
      <c r="J38" s="166">
        <f t="shared" si="4"/>
        <v>0</v>
      </c>
      <c r="K38" s="166">
        <f t="shared" si="5"/>
        <v>0</v>
      </c>
      <c r="M38" s="168">
        <f t="shared" si="6"/>
        <v>0</v>
      </c>
      <c r="N38" s="168">
        <f t="shared" si="7"/>
        <v>0</v>
      </c>
    </row>
    <row r="39" spans="2:14" ht="18">
      <c r="B39" s="157" t="s">
        <v>125</v>
      </c>
      <c r="C39" s="161">
        <f>Utilidad!A36</f>
        <v>0</v>
      </c>
      <c r="D39" s="162">
        <f>IF(Utilidad!C36&gt;1,Utilidad!C36/100,Utilidad!C36)</f>
        <v>0</v>
      </c>
      <c r="F39" s="157" t="s">
        <v>125</v>
      </c>
      <c r="G39" s="161">
        <f>Utilidad!B36</f>
        <v>0</v>
      </c>
      <c r="H39" s="169">
        <f>IF(Utilidad!D36&gt;1,Utilidad!D36/100,Utilidad!D36)</f>
        <v>0</v>
      </c>
      <c r="J39" s="166">
        <f t="shared" si="4"/>
        <v>0</v>
      </c>
      <c r="K39" s="166">
        <f t="shared" si="5"/>
        <v>0</v>
      </c>
      <c r="M39" s="168">
        <f t="shared" si="6"/>
        <v>0</v>
      </c>
      <c r="N39" s="168">
        <f t="shared" si="7"/>
        <v>0</v>
      </c>
    </row>
    <row r="40" spans="2:14" ht="18">
      <c r="B40" s="157" t="s">
        <v>126</v>
      </c>
      <c r="C40" s="161">
        <f>Utilidad!A37</f>
        <v>0</v>
      </c>
      <c r="D40" s="162">
        <f>IF(Utilidad!C37&gt;1,Utilidad!C37/100,Utilidad!C37)</f>
        <v>0</v>
      </c>
      <c r="F40" s="157" t="s">
        <v>126</v>
      </c>
      <c r="G40" s="161">
        <f>Utilidad!B37</f>
        <v>0</v>
      </c>
      <c r="H40" s="169">
        <f>IF(Utilidad!D37&gt;1,Utilidad!D37/100,Utilidad!D37)</f>
        <v>0</v>
      </c>
      <c r="J40" s="166">
        <f t="shared" si="4"/>
        <v>0</v>
      </c>
      <c r="K40" s="166">
        <f t="shared" si="5"/>
        <v>0</v>
      </c>
      <c r="M40" s="168">
        <f t="shared" si="6"/>
        <v>0</v>
      </c>
      <c r="N40" s="168">
        <f t="shared" si="7"/>
        <v>0</v>
      </c>
    </row>
    <row r="41" spans="2:14" ht="18">
      <c r="B41" s="157" t="s">
        <v>127</v>
      </c>
      <c r="C41" s="161">
        <f>Utilidad!A38</f>
        <v>0</v>
      </c>
      <c r="D41" s="162">
        <f>IF(Utilidad!C38&gt;1,Utilidad!C38/100,Utilidad!C38)</f>
        <v>0</v>
      </c>
      <c r="F41" s="157" t="s">
        <v>127</v>
      </c>
      <c r="G41" s="161">
        <f>Utilidad!B38</f>
        <v>0</v>
      </c>
      <c r="H41" s="169">
        <f>IF(Utilidad!D38&gt;1,Utilidad!D38/100,Utilidad!D38)</f>
        <v>0</v>
      </c>
      <c r="J41" s="166">
        <f t="shared" si="4"/>
        <v>0</v>
      </c>
      <c r="K41" s="166">
        <f t="shared" si="5"/>
        <v>0</v>
      </c>
      <c r="M41" s="168">
        <f t="shared" si="6"/>
        <v>0</v>
      </c>
      <c r="N41" s="168">
        <f t="shared" si="7"/>
        <v>0</v>
      </c>
    </row>
    <row r="42" spans="2:14" ht="18">
      <c r="B42" s="157" t="s">
        <v>128</v>
      </c>
      <c r="C42" s="161">
        <f>Utilidad!A39</f>
        <v>0</v>
      </c>
      <c r="D42" s="162">
        <f>IF(Utilidad!C39&gt;1,Utilidad!C39/100,Utilidad!C39)</f>
        <v>0</v>
      </c>
      <c r="F42" s="157" t="s">
        <v>128</v>
      </c>
      <c r="G42" s="161">
        <f>Utilidad!B39</f>
        <v>0</v>
      </c>
      <c r="H42" s="169">
        <f>IF(Utilidad!D39&gt;1,Utilidad!D39/100,Utilidad!D39)</f>
        <v>0</v>
      </c>
      <c r="J42" s="166">
        <f t="shared" si="4"/>
        <v>0</v>
      </c>
      <c r="K42" s="166">
        <f t="shared" si="5"/>
        <v>0</v>
      </c>
      <c r="M42" s="168">
        <f t="shared" si="6"/>
        <v>0</v>
      </c>
      <c r="N42" s="168">
        <f t="shared" si="7"/>
        <v>0</v>
      </c>
    </row>
    <row r="43" spans="2:14" ht="18">
      <c r="B43" s="157" t="s">
        <v>129</v>
      </c>
      <c r="C43" s="161">
        <f>Utilidad!A40</f>
        <v>0</v>
      </c>
      <c r="D43" s="162">
        <f>IF(Utilidad!C40&gt;1,Utilidad!C40/100,Utilidad!C40)</f>
        <v>0</v>
      </c>
      <c r="F43" s="157" t="s">
        <v>129</v>
      </c>
      <c r="G43" s="161">
        <f>Utilidad!B40</f>
        <v>0</v>
      </c>
      <c r="H43" s="169">
        <f>IF(Utilidad!D40&gt;1,Utilidad!D40/100,Utilidad!D40)</f>
        <v>0</v>
      </c>
      <c r="J43" s="166">
        <f t="shared" si="4"/>
        <v>0</v>
      </c>
      <c r="K43" s="166">
        <f t="shared" si="5"/>
        <v>0</v>
      </c>
      <c r="M43" s="168">
        <f t="shared" si="6"/>
        <v>0</v>
      </c>
      <c r="N43" s="168">
        <f t="shared" si="7"/>
        <v>0</v>
      </c>
    </row>
    <row r="44" spans="2:14" ht="18">
      <c r="B44" s="157" t="s">
        <v>130</v>
      </c>
      <c r="C44" s="161">
        <f>Utilidad!A41</f>
        <v>0</v>
      </c>
      <c r="D44" s="162">
        <f>IF(Utilidad!C41&gt;1,Utilidad!C41/100,Utilidad!C41)</f>
        <v>0</v>
      </c>
      <c r="F44" s="157" t="s">
        <v>130</v>
      </c>
      <c r="G44" s="161">
        <f>Utilidad!B41</f>
        <v>0</v>
      </c>
      <c r="H44" s="169">
        <f>IF(Utilidad!D41&gt;1,Utilidad!D41/100,Utilidad!D41)</f>
        <v>0</v>
      </c>
      <c r="J44" s="166">
        <f t="shared" si="4"/>
        <v>0</v>
      </c>
      <c r="K44" s="166">
        <f t="shared" si="5"/>
        <v>0</v>
      </c>
      <c r="M44" s="168">
        <f t="shared" si="6"/>
        <v>0</v>
      </c>
      <c r="N44" s="168">
        <f t="shared" si="7"/>
        <v>0</v>
      </c>
    </row>
    <row r="45" spans="2:14" ht="18">
      <c r="B45" s="157" t="s">
        <v>131</v>
      </c>
      <c r="C45" s="161">
        <f>Utilidad!A42</f>
        <v>0</v>
      </c>
      <c r="D45" s="162">
        <f>IF(Utilidad!C42&gt;1,Utilidad!C42/100,Utilidad!C42)</f>
        <v>0</v>
      </c>
      <c r="F45" s="157" t="s">
        <v>131</v>
      </c>
      <c r="G45" s="161">
        <f>Utilidad!B42</f>
        <v>0</v>
      </c>
      <c r="H45" s="169">
        <f>IF(Utilidad!D42&gt;1,Utilidad!D42/100,Utilidad!D42)</f>
        <v>0</v>
      </c>
      <c r="J45" s="166">
        <f t="shared" si="4"/>
        <v>0</v>
      </c>
      <c r="K45" s="166">
        <f t="shared" si="5"/>
        <v>0</v>
      </c>
      <c r="M45" s="168">
        <f t="shared" si="6"/>
        <v>0</v>
      </c>
      <c r="N45" s="168">
        <f t="shared" si="7"/>
        <v>0</v>
      </c>
    </row>
    <row r="46" spans="2:14" ht="18">
      <c r="B46" s="157" t="s">
        <v>132</v>
      </c>
      <c r="C46" s="161">
        <f>Utilidad!A43</f>
        <v>0</v>
      </c>
      <c r="D46" s="162">
        <f>IF(Utilidad!C43&gt;1,Utilidad!C43/100,Utilidad!C43)</f>
        <v>0</v>
      </c>
      <c r="F46" s="157" t="s">
        <v>132</v>
      </c>
      <c r="G46" s="161">
        <f>Utilidad!B43</f>
        <v>0</v>
      </c>
      <c r="H46" s="169">
        <f>IF(Utilidad!D43&gt;1,Utilidad!D43/100,Utilidad!D43)</f>
        <v>0</v>
      </c>
      <c r="J46" s="166">
        <f t="shared" si="4"/>
        <v>0</v>
      </c>
      <c r="K46" s="166">
        <f t="shared" si="5"/>
        <v>0</v>
      </c>
      <c r="M46" s="168">
        <f t="shared" si="6"/>
        <v>0</v>
      </c>
      <c r="N46" s="168">
        <f t="shared" si="7"/>
        <v>0</v>
      </c>
    </row>
    <row r="47" spans="2:14" ht="18">
      <c r="B47" s="157" t="s">
        <v>133</v>
      </c>
      <c r="C47" s="161">
        <f>Utilidad!A44</f>
        <v>0</v>
      </c>
      <c r="D47" s="162">
        <f>IF(Utilidad!C44&gt;1,Utilidad!C44/100,Utilidad!C44)</f>
        <v>0</v>
      </c>
      <c r="F47" s="157" t="s">
        <v>133</v>
      </c>
      <c r="G47" s="161">
        <f>Utilidad!B44</f>
        <v>0</v>
      </c>
      <c r="H47" s="169">
        <f>IF(Utilidad!D44&gt;1,Utilidad!D44/100,Utilidad!D44)</f>
        <v>0</v>
      </c>
      <c r="J47" s="166">
        <f t="shared" si="4"/>
        <v>0</v>
      </c>
      <c r="K47" s="166">
        <f t="shared" si="5"/>
        <v>0</v>
      </c>
      <c r="M47" s="168">
        <f t="shared" si="6"/>
        <v>0</v>
      </c>
      <c r="N47" s="168">
        <f t="shared" si="7"/>
        <v>0</v>
      </c>
    </row>
    <row r="48" spans="2:14" ht="18">
      <c r="B48" s="157" t="s">
        <v>134</v>
      </c>
      <c r="C48" s="161">
        <f>Utilidad!A45</f>
        <v>0</v>
      </c>
      <c r="D48" s="162">
        <f>IF(Utilidad!C45&gt;1,Utilidad!C45/100,Utilidad!C45)</f>
        <v>0</v>
      </c>
      <c r="F48" s="157" t="s">
        <v>134</v>
      </c>
      <c r="G48" s="161">
        <f>Utilidad!B45</f>
        <v>0</v>
      </c>
      <c r="H48" s="169">
        <f>IF(Utilidad!D45&gt;1,Utilidad!D45/100,Utilidad!D45)</f>
        <v>0</v>
      </c>
      <c r="J48" s="166">
        <f t="shared" si="4"/>
        <v>0</v>
      </c>
      <c r="K48" s="166">
        <f t="shared" si="5"/>
        <v>0</v>
      </c>
      <c r="M48" s="168">
        <f t="shared" si="6"/>
        <v>0</v>
      </c>
      <c r="N48" s="168">
        <f t="shared" si="7"/>
        <v>0</v>
      </c>
    </row>
    <row r="49" spans="2:14" ht="18">
      <c r="B49" s="157" t="s">
        <v>135</v>
      </c>
      <c r="C49" s="161">
        <f>Utilidad!A46</f>
        <v>0</v>
      </c>
      <c r="D49" s="162">
        <f>IF(Utilidad!C46&gt;1,Utilidad!C46/100,Utilidad!C46)</f>
        <v>0</v>
      </c>
      <c r="F49" s="157" t="s">
        <v>135</v>
      </c>
      <c r="G49" s="161">
        <f>Utilidad!B46</f>
        <v>0</v>
      </c>
      <c r="H49" s="169">
        <f>IF(Utilidad!D46&gt;1,Utilidad!D46/100,Utilidad!D46)</f>
        <v>0</v>
      </c>
      <c r="J49" s="166">
        <f t="shared" si="4"/>
        <v>0</v>
      </c>
      <c r="K49" s="166">
        <f t="shared" si="5"/>
        <v>0</v>
      </c>
      <c r="M49" s="168">
        <f t="shared" si="6"/>
        <v>0</v>
      </c>
      <c r="N49" s="168">
        <f t="shared" si="7"/>
        <v>0</v>
      </c>
    </row>
    <row r="50" spans="2:14" ht="18">
      <c r="B50" s="157" t="s">
        <v>136</v>
      </c>
      <c r="C50" s="161">
        <f>Utilidad!A47</f>
        <v>0</v>
      </c>
      <c r="D50" s="162">
        <f>IF(Utilidad!C47&gt;1,Utilidad!C47/100,Utilidad!C47)</f>
        <v>0</v>
      </c>
      <c r="F50" s="157" t="s">
        <v>136</v>
      </c>
      <c r="G50" s="161">
        <f>Utilidad!B47</f>
        <v>0</v>
      </c>
      <c r="H50" s="169">
        <f>IF(Utilidad!D47&gt;1,Utilidad!D47/100,Utilidad!D47)</f>
        <v>0</v>
      </c>
      <c r="J50" s="166">
        <f t="shared" si="4"/>
        <v>0</v>
      </c>
      <c r="K50" s="166">
        <f t="shared" si="5"/>
        <v>0</v>
      </c>
      <c r="M50" s="168">
        <f t="shared" si="6"/>
        <v>0</v>
      </c>
      <c r="N50" s="168">
        <f t="shared" si="7"/>
        <v>0</v>
      </c>
    </row>
    <row r="51" spans="2:14" ht="18">
      <c r="B51" s="157" t="s">
        <v>137</v>
      </c>
      <c r="C51" s="161">
        <f>Utilidad!A48</f>
        <v>0</v>
      </c>
      <c r="D51" s="162">
        <f>IF(Utilidad!C48&gt;1,Utilidad!C48/100,Utilidad!C48)</f>
        <v>0</v>
      </c>
      <c r="F51" s="157" t="s">
        <v>137</v>
      </c>
      <c r="G51" s="161">
        <f>Utilidad!B48</f>
        <v>0</v>
      </c>
      <c r="H51" s="169">
        <f>IF(Utilidad!D48&gt;1,Utilidad!D48/100,Utilidad!D48)</f>
        <v>0</v>
      </c>
      <c r="J51" s="166">
        <f t="shared" si="4"/>
        <v>0</v>
      </c>
      <c r="K51" s="166">
        <f t="shared" si="5"/>
        <v>0</v>
      </c>
      <c r="M51" s="168">
        <f t="shared" si="6"/>
        <v>0</v>
      </c>
      <c r="N51" s="168">
        <f t="shared" si="7"/>
        <v>0</v>
      </c>
    </row>
    <row r="52" spans="2:14" ht="18">
      <c r="B52" s="157" t="s">
        <v>138</v>
      </c>
      <c r="C52" s="161">
        <f>Utilidad!A49</f>
        <v>0</v>
      </c>
      <c r="D52" s="162">
        <f>IF(Utilidad!C49&gt;1,Utilidad!C49/100,Utilidad!C49)</f>
        <v>0</v>
      </c>
      <c r="F52" s="157" t="s">
        <v>138</v>
      </c>
      <c r="G52" s="161">
        <f>Utilidad!B49</f>
        <v>0</v>
      </c>
      <c r="H52" s="169">
        <f>IF(Utilidad!D49&gt;1,Utilidad!D49/100,Utilidad!D49)</f>
        <v>0</v>
      </c>
      <c r="J52" s="166">
        <f t="shared" si="4"/>
        <v>0</v>
      </c>
      <c r="K52" s="166">
        <f t="shared" si="5"/>
        <v>0</v>
      </c>
      <c r="M52" s="168">
        <f t="shared" si="6"/>
        <v>0</v>
      </c>
      <c r="N52" s="168">
        <f t="shared" si="7"/>
        <v>0</v>
      </c>
    </row>
    <row r="53" spans="2:14" ht="18">
      <c r="B53" s="157" t="s">
        <v>139</v>
      </c>
      <c r="C53" s="161">
        <f>Utilidad!A50</f>
        <v>0</v>
      </c>
      <c r="D53" s="162">
        <f>IF(Utilidad!C50&gt;1,Utilidad!C50/100,Utilidad!C50)</f>
        <v>0</v>
      </c>
      <c r="F53" s="157" t="s">
        <v>139</v>
      </c>
      <c r="G53" s="161">
        <f>Utilidad!B50</f>
        <v>0</v>
      </c>
      <c r="H53" s="169">
        <f>IF(Utilidad!D50&gt;1,Utilidad!D50/100,Utilidad!D50)</f>
        <v>0</v>
      </c>
      <c r="J53" s="166">
        <f t="shared" si="4"/>
        <v>0</v>
      </c>
      <c r="K53" s="166">
        <f t="shared" si="5"/>
        <v>0</v>
      </c>
      <c r="M53" s="168">
        <f t="shared" si="6"/>
        <v>0</v>
      </c>
      <c r="N53" s="168">
        <f t="shared" si="7"/>
        <v>0</v>
      </c>
    </row>
    <row r="54" spans="2:14" ht="18">
      <c r="B54" s="157" t="s">
        <v>140</v>
      </c>
      <c r="C54" s="161">
        <f>Utilidad!A51</f>
        <v>0</v>
      </c>
      <c r="D54" s="162">
        <f>IF(Utilidad!C51&gt;1,Utilidad!C51/100,Utilidad!C51)</f>
        <v>0</v>
      </c>
      <c r="F54" s="157" t="s">
        <v>140</v>
      </c>
      <c r="G54" s="161">
        <f>Utilidad!B51</f>
        <v>0</v>
      </c>
      <c r="H54" s="169">
        <f>IF(Utilidad!D51&gt;1,Utilidad!D51/100,Utilidad!D51)</f>
        <v>0</v>
      </c>
      <c r="J54" s="166">
        <f t="shared" si="4"/>
        <v>0</v>
      </c>
      <c r="K54" s="166">
        <f t="shared" si="5"/>
        <v>0</v>
      </c>
      <c r="M54" s="168">
        <f t="shared" si="6"/>
        <v>0</v>
      </c>
      <c r="N54" s="168">
        <f t="shared" si="7"/>
        <v>0</v>
      </c>
    </row>
    <row r="55" spans="2:14" ht="18">
      <c r="B55" s="157" t="s">
        <v>141</v>
      </c>
      <c r="C55" s="161">
        <f>Utilidad!A52</f>
        <v>38885</v>
      </c>
      <c r="D55" s="162">
        <f>IF(Utilidad!C52&gt;1,Utilidad!C52/100,Utilidad!C52)</f>
        <v>0.45810000000000001</v>
      </c>
      <c r="F55" s="157" t="s">
        <v>141</v>
      </c>
      <c r="G55" s="161">
        <f>Utilidad!B52</f>
        <v>38885</v>
      </c>
      <c r="H55" s="169">
        <f>IF(Utilidad!D52&gt;1,Utilidad!D52/100,Utilidad!D52)</f>
        <v>0.45810000000000001</v>
      </c>
      <c r="J55" s="166">
        <f t="shared" si="4"/>
        <v>0</v>
      </c>
      <c r="K55" s="166">
        <f t="shared" si="5"/>
        <v>0</v>
      </c>
      <c r="M55" s="168">
        <f t="shared" si="6"/>
        <v>0</v>
      </c>
      <c r="N55" s="168">
        <f t="shared" si="7"/>
        <v>0</v>
      </c>
    </row>
    <row r="56" spans="2:14" ht="18">
      <c r="B56" s="157" t="s">
        <v>142</v>
      </c>
      <c r="C56" s="161">
        <f>Utilidad!A53</f>
        <v>38885</v>
      </c>
      <c r="D56" s="162">
        <f>IF(Utilidad!C53&gt;1,Utilidad!C53/100,Utilidad!C53)</f>
        <v>0.45810000000000001</v>
      </c>
      <c r="F56" s="157" t="s">
        <v>142</v>
      </c>
      <c r="G56" s="161">
        <f>Utilidad!B53</f>
        <v>38885</v>
      </c>
      <c r="H56" s="169">
        <f>IF(Utilidad!D53&gt;1,Utilidad!D53/100,Utilidad!D53)</f>
        <v>0.45810000000000001</v>
      </c>
      <c r="J56" s="166">
        <f t="shared" si="4"/>
        <v>0</v>
      </c>
      <c r="K56" s="166">
        <f t="shared" si="5"/>
        <v>0</v>
      </c>
      <c r="M56" s="168">
        <f t="shared" si="6"/>
        <v>0</v>
      </c>
      <c r="N56" s="168">
        <f t="shared" si="7"/>
        <v>0</v>
      </c>
    </row>
    <row r="57" spans="2:14" ht="18">
      <c r="B57" s="157" t="s">
        <v>182</v>
      </c>
      <c r="C57" s="161">
        <f>Utilidad!A54</f>
        <v>2198</v>
      </c>
      <c r="D57" s="162">
        <f>IF(Utilidad!C54&gt;1,Utilidad!C54/100,Utilidad!C54)</f>
        <v>0.62729999999999997</v>
      </c>
      <c r="F57" s="157" t="s">
        <v>183</v>
      </c>
      <c r="G57" s="161">
        <f>Utilidad!B54</f>
        <v>2198</v>
      </c>
      <c r="H57" s="169">
        <f>IF(Utilidad!D54&gt;1,Utilidad!D54/100,Utilidad!D54)</f>
        <v>0.62729999999999997</v>
      </c>
      <c r="J57" s="166">
        <f t="shared" si="4"/>
        <v>0</v>
      </c>
      <c r="K57" s="166">
        <f t="shared" si="5"/>
        <v>0</v>
      </c>
      <c r="M57" s="168">
        <f t="shared" si="6"/>
        <v>0</v>
      </c>
      <c r="N57" s="168">
        <f t="shared" si="7"/>
        <v>0</v>
      </c>
    </row>
    <row r="58" spans="2:14" ht="18">
      <c r="B58" s="157" t="s">
        <v>184</v>
      </c>
      <c r="C58" s="161">
        <f>Utilidad!A55</f>
        <v>57</v>
      </c>
      <c r="D58" s="162">
        <f>IF(Utilidad!C55&gt;1,Utilidad!C55/100,Utilidad!C55)</f>
        <v>0.6472</v>
      </c>
      <c r="F58" s="157" t="s">
        <v>184</v>
      </c>
      <c r="G58" s="161">
        <f>Utilidad!B55</f>
        <v>57</v>
      </c>
      <c r="H58" s="169">
        <f>IF(Utilidad!D55&gt;1,Utilidad!D55/100,Utilidad!D55)</f>
        <v>0.6472</v>
      </c>
      <c r="J58" s="166">
        <f t="shared" si="4"/>
        <v>0</v>
      </c>
      <c r="K58" s="166">
        <f t="shared" si="5"/>
        <v>0</v>
      </c>
      <c r="M58" s="168">
        <f t="shared" si="6"/>
        <v>0</v>
      </c>
      <c r="N58" s="168">
        <f t="shared" si="7"/>
        <v>0</v>
      </c>
    </row>
    <row r="59" spans="2:14" ht="18">
      <c r="B59" s="157" t="s">
        <v>185</v>
      </c>
      <c r="C59" s="161">
        <f>Utilidad!A56</f>
        <v>0</v>
      </c>
      <c r="D59" s="162">
        <f>IF(Utilidad!C56&gt;1,Utilidad!C56/100,Utilidad!C56)</f>
        <v>0</v>
      </c>
      <c r="F59" s="157" t="s">
        <v>185</v>
      </c>
      <c r="G59" s="161">
        <f>Utilidad!B56</f>
        <v>0</v>
      </c>
      <c r="H59" s="169">
        <f>IF(Utilidad!D56&gt;1,Utilidad!D56/100,Utilidad!D56)</f>
        <v>0</v>
      </c>
      <c r="J59" s="166">
        <f t="shared" si="4"/>
        <v>0</v>
      </c>
      <c r="K59" s="166">
        <f t="shared" si="5"/>
        <v>0</v>
      </c>
      <c r="M59" s="168">
        <f t="shared" si="6"/>
        <v>0</v>
      </c>
      <c r="N59" s="168">
        <f t="shared" si="7"/>
        <v>0</v>
      </c>
    </row>
    <row r="60" spans="2:14" ht="18">
      <c r="B60" s="157" t="s">
        <v>186</v>
      </c>
      <c r="C60" s="161">
        <f>Utilidad!A57</f>
        <v>1643</v>
      </c>
      <c r="D60" s="162">
        <f>IF(Utilidad!C57&gt;1,Utilidad!C57/100,Utilidad!C57)</f>
        <v>0.61599999999999999</v>
      </c>
      <c r="F60" s="157" t="s">
        <v>186</v>
      </c>
      <c r="G60" s="161">
        <f>Utilidad!B57</f>
        <v>1643</v>
      </c>
      <c r="H60" s="169">
        <f>IF(Utilidad!D57&gt;1,Utilidad!D57/100,Utilidad!D57)</f>
        <v>0.61599999999999999</v>
      </c>
      <c r="J60" s="166">
        <f t="shared" si="4"/>
        <v>0</v>
      </c>
      <c r="K60" s="166">
        <f t="shared" si="5"/>
        <v>0</v>
      </c>
      <c r="M60" s="168">
        <f t="shared" si="6"/>
        <v>0</v>
      </c>
      <c r="N60" s="168">
        <f t="shared" si="7"/>
        <v>0</v>
      </c>
    </row>
    <row r="61" spans="2:14" ht="18">
      <c r="B61" s="157" t="s">
        <v>187</v>
      </c>
      <c r="C61" s="161">
        <f>Utilidad!A58</f>
        <v>0</v>
      </c>
      <c r="D61" s="162">
        <f>IF(Utilidad!C58&gt;1,Utilidad!C58/100,Utilidad!C58)</f>
        <v>0</v>
      </c>
      <c r="F61" s="157" t="s">
        <v>187</v>
      </c>
      <c r="G61" s="161">
        <f>Utilidad!B58</f>
        <v>0</v>
      </c>
      <c r="H61" s="169">
        <f>IF(Utilidad!D58&gt;1,Utilidad!D58/100,Utilidad!D58)</f>
        <v>0</v>
      </c>
      <c r="J61" s="166">
        <f t="shared" si="4"/>
        <v>0</v>
      </c>
      <c r="K61" s="166">
        <f t="shared" si="5"/>
        <v>0</v>
      </c>
      <c r="M61" s="168">
        <f t="shared" si="6"/>
        <v>0</v>
      </c>
      <c r="N61" s="168">
        <f t="shared" si="7"/>
        <v>0</v>
      </c>
    </row>
    <row r="62" spans="2:14" ht="18">
      <c r="B62" s="157" t="s">
        <v>188</v>
      </c>
      <c r="C62" s="161">
        <f>Utilidad!A59</f>
        <v>0</v>
      </c>
      <c r="D62" s="162">
        <f>IF(Utilidad!C59&gt;1,Utilidad!C59/100,Utilidad!C59)</f>
        <v>0</v>
      </c>
      <c r="F62" s="157" t="s">
        <v>188</v>
      </c>
      <c r="G62" s="161">
        <f>Utilidad!B59</f>
        <v>0</v>
      </c>
      <c r="H62" s="169">
        <f>IF(Utilidad!D59&gt;1,Utilidad!D59/100,Utilidad!D59)</f>
        <v>0</v>
      </c>
      <c r="J62" s="166">
        <f t="shared" si="4"/>
        <v>0</v>
      </c>
      <c r="K62" s="166">
        <f t="shared" si="5"/>
        <v>0</v>
      </c>
      <c r="M62" s="168">
        <f t="shared" si="6"/>
        <v>0</v>
      </c>
      <c r="N62" s="168">
        <f t="shared" si="7"/>
        <v>0</v>
      </c>
    </row>
    <row r="63" spans="2:14" ht="18">
      <c r="B63" s="157" t="s">
        <v>189</v>
      </c>
      <c r="C63" s="161">
        <f>Utilidad!A60</f>
        <v>0</v>
      </c>
      <c r="D63" s="162">
        <f>IF(Utilidad!C60&gt;1,Utilidad!C60/100,Utilidad!C60)</f>
        <v>0</v>
      </c>
      <c r="F63" s="157" t="s">
        <v>189</v>
      </c>
      <c r="G63" s="161">
        <f>Utilidad!B60</f>
        <v>0</v>
      </c>
      <c r="H63" s="169">
        <f>IF(Utilidad!D60&gt;1,Utilidad!D60/100,Utilidad!D60)</f>
        <v>0</v>
      </c>
      <c r="J63" s="166">
        <f t="shared" si="4"/>
        <v>0</v>
      </c>
      <c r="K63" s="166">
        <f t="shared" si="5"/>
        <v>0</v>
      </c>
      <c r="M63" s="168">
        <f t="shared" si="6"/>
        <v>0</v>
      </c>
      <c r="N63" s="168">
        <f t="shared" si="7"/>
        <v>0</v>
      </c>
    </row>
    <row r="64" spans="2:14" ht="18">
      <c r="B64" s="157" t="s">
        <v>190</v>
      </c>
      <c r="C64" s="161">
        <f>Utilidad!A61</f>
        <v>0</v>
      </c>
      <c r="D64" s="162">
        <f>IF(Utilidad!C61&gt;1,Utilidad!C61/100,Utilidad!C61)</f>
        <v>0</v>
      </c>
      <c r="F64" s="157" t="s">
        <v>190</v>
      </c>
      <c r="G64" s="161">
        <f>Utilidad!B61</f>
        <v>0</v>
      </c>
      <c r="H64" s="169">
        <f>IF(Utilidad!D61&gt;1,Utilidad!D61/100,Utilidad!D61)</f>
        <v>0</v>
      </c>
      <c r="J64" s="166">
        <f t="shared" si="4"/>
        <v>0</v>
      </c>
      <c r="K64" s="166">
        <f t="shared" si="5"/>
        <v>0</v>
      </c>
      <c r="M64" s="168">
        <f t="shared" si="6"/>
        <v>0</v>
      </c>
      <c r="N64" s="168">
        <f t="shared" si="7"/>
        <v>0</v>
      </c>
    </row>
    <row r="65" spans="2:14" ht="18">
      <c r="B65" s="157" t="s">
        <v>163</v>
      </c>
      <c r="C65" s="161">
        <f>Utilidad!A62</f>
        <v>1332</v>
      </c>
      <c r="D65" s="162">
        <f>IF(Utilidad!C62&gt;1,Utilidad!C62/100,Utilidad!C62)</f>
        <v>0.53029999999999999</v>
      </c>
      <c r="F65" s="157" t="s">
        <v>163</v>
      </c>
      <c r="G65" s="161">
        <f>Utilidad!B62</f>
        <v>1332</v>
      </c>
      <c r="H65" s="169">
        <f>IF(Utilidad!D62&gt;1,Utilidad!D62/100,Utilidad!D62)</f>
        <v>0.53029999999999999</v>
      </c>
      <c r="J65" s="166">
        <f t="shared" si="4"/>
        <v>0</v>
      </c>
      <c r="K65" s="166">
        <f t="shared" si="5"/>
        <v>0</v>
      </c>
      <c r="M65" s="168">
        <f t="shared" si="6"/>
        <v>0</v>
      </c>
      <c r="N65" s="168">
        <f t="shared" si="7"/>
        <v>0</v>
      </c>
    </row>
    <row r="66" spans="2:14" ht="18">
      <c r="B66" s="157" t="s">
        <v>159</v>
      </c>
      <c r="C66" s="161">
        <f>Utilidad!A63</f>
        <v>385</v>
      </c>
      <c r="D66" s="162">
        <f>IF(Utilidad!C63&gt;1,Utilidad!C63/100,Utilidad!C63)</f>
        <v>0.62829999999999997</v>
      </c>
      <c r="F66" s="157" t="s">
        <v>159</v>
      </c>
      <c r="G66" s="161">
        <f>Utilidad!B63</f>
        <v>385</v>
      </c>
      <c r="H66" s="169">
        <f>IF(Utilidad!D63&gt;1,Utilidad!D63/100,Utilidad!D63)</f>
        <v>0.62829999999999997</v>
      </c>
      <c r="J66" s="166">
        <f t="shared" si="4"/>
        <v>0</v>
      </c>
      <c r="K66" s="166">
        <f t="shared" si="5"/>
        <v>0</v>
      </c>
      <c r="M66" s="168">
        <f t="shared" si="6"/>
        <v>0</v>
      </c>
      <c r="N66" s="168">
        <f t="shared" si="7"/>
        <v>0</v>
      </c>
    </row>
    <row r="67" spans="2:14" ht="18">
      <c r="B67" s="157" t="s">
        <v>160</v>
      </c>
      <c r="C67" s="161">
        <f>Utilidad!A64</f>
        <v>358</v>
      </c>
      <c r="D67" s="162">
        <f>IF(Utilidad!C64&gt;1,Utilidad!C64/100,Utilidad!C64)</f>
        <v>0.61520000000000008</v>
      </c>
      <c r="F67" s="157" t="s">
        <v>160</v>
      </c>
      <c r="G67" s="161">
        <f>Utilidad!B64</f>
        <v>358</v>
      </c>
      <c r="H67" s="169">
        <f>IF(Utilidad!D64&gt;1,Utilidad!D64/100,Utilidad!D64)</f>
        <v>0.61520000000000008</v>
      </c>
      <c r="J67" s="166">
        <f t="shared" si="4"/>
        <v>0</v>
      </c>
      <c r="K67" s="166">
        <f t="shared" si="5"/>
        <v>0</v>
      </c>
      <c r="M67" s="168">
        <f t="shared" si="6"/>
        <v>0</v>
      </c>
      <c r="N67" s="168">
        <f t="shared" si="7"/>
        <v>0</v>
      </c>
    </row>
    <row r="68" spans="2:14" ht="18">
      <c r="B68" s="157" t="s">
        <v>191</v>
      </c>
      <c r="C68" s="161">
        <f>Utilidad!A65</f>
        <v>0</v>
      </c>
      <c r="D68" s="162">
        <f>IF(Utilidad!C65&gt;1,Utilidad!C65/100,Utilidad!C65)</f>
        <v>0</v>
      </c>
      <c r="F68" s="157" t="s">
        <v>191</v>
      </c>
      <c r="G68" s="161">
        <f>Utilidad!B65</f>
        <v>0</v>
      </c>
      <c r="H68" s="169">
        <f>IF(Utilidad!D65&gt;1,Utilidad!D65/100,Utilidad!D65)</f>
        <v>0</v>
      </c>
      <c r="J68" s="166">
        <f t="shared" si="4"/>
        <v>0</v>
      </c>
      <c r="K68" s="166">
        <f t="shared" si="5"/>
        <v>0</v>
      </c>
      <c r="M68" s="168">
        <f t="shared" si="6"/>
        <v>0</v>
      </c>
      <c r="N68" s="168">
        <f t="shared" si="7"/>
        <v>0</v>
      </c>
    </row>
    <row r="69" spans="2:14" ht="18">
      <c r="B69" s="157" t="s">
        <v>192</v>
      </c>
      <c r="C69" s="161">
        <f>Utilidad!A66</f>
        <v>1332</v>
      </c>
      <c r="D69" s="162">
        <f>IF(Utilidad!C66&gt;1,Utilidad!C66/100,Utilidad!C66)</f>
        <v>0.53029999999999999</v>
      </c>
      <c r="F69" s="157" t="s">
        <v>192</v>
      </c>
      <c r="G69" s="161">
        <f>Utilidad!B66</f>
        <v>1332</v>
      </c>
      <c r="H69" s="169">
        <f>IF(Utilidad!D66&gt;1,Utilidad!D66/100,Utilidad!D66)</f>
        <v>0.53029999999999999</v>
      </c>
      <c r="J69" s="166">
        <f t="shared" si="4"/>
        <v>0</v>
      </c>
      <c r="K69" s="166">
        <f t="shared" si="5"/>
        <v>0</v>
      </c>
      <c r="M69" s="168">
        <f t="shared" si="6"/>
        <v>0</v>
      </c>
      <c r="N69" s="168">
        <f t="shared" si="7"/>
        <v>0</v>
      </c>
    </row>
    <row r="70" spans="2:14" ht="18">
      <c r="B70" s="157" t="s">
        <v>161</v>
      </c>
      <c r="C70" s="161">
        <f>Utilidad!A67</f>
        <v>0</v>
      </c>
      <c r="D70" s="162">
        <f>IF(Utilidad!C67&gt;1,Utilidad!C67/100,Utilidad!C67)</f>
        <v>0</v>
      </c>
      <c r="F70" s="157" t="s">
        <v>161</v>
      </c>
      <c r="G70" s="161">
        <f>Utilidad!B67</f>
        <v>0</v>
      </c>
      <c r="H70" s="169">
        <f>IF(Utilidad!D67&gt;1,Utilidad!D67/100,Utilidad!D67)</f>
        <v>0</v>
      </c>
      <c r="J70" s="166">
        <f t="shared" si="4"/>
        <v>0</v>
      </c>
      <c r="K70" s="166">
        <f t="shared" si="5"/>
        <v>0</v>
      </c>
      <c r="M70" s="168">
        <f t="shared" si="6"/>
        <v>0</v>
      </c>
      <c r="N70" s="168">
        <f t="shared" si="7"/>
        <v>0</v>
      </c>
    </row>
    <row r="71" spans="2:14" ht="18">
      <c r="B71" s="157" t="s">
        <v>162</v>
      </c>
      <c r="C71" s="161">
        <f>Utilidad!A68</f>
        <v>268</v>
      </c>
      <c r="D71" s="162">
        <f>IF(Utilidad!C68&gt;1,Utilidad!C68/100,Utilidad!C68)</f>
        <v>0.53259999999999996</v>
      </c>
      <c r="F71" s="157" t="s">
        <v>162</v>
      </c>
      <c r="G71" s="161">
        <f>Utilidad!B68</f>
        <v>268</v>
      </c>
      <c r="H71" s="169">
        <f>IF(Utilidad!D68&gt;1,Utilidad!D68/100,Utilidad!D68)</f>
        <v>0.53259999999999996</v>
      </c>
      <c r="J71" s="166">
        <f t="shared" si="4"/>
        <v>0</v>
      </c>
      <c r="K71" s="166">
        <f t="shared" si="5"/>
        <v>0</v>
      </c>
      <c r="M71" s="168">
        <f t="shared" si="6"/>
        <v>0</v>
      </c>
      <c r="N71" s="168">
        <f t="shared" si="7"/>
        <v>0</v>
      </c>
    </row>
    <row r="72" spans="2:14" ht="15" customHeight="1">
      <c r="B72" s="157" t="s">
        <v>193</v>
      </c>
      <c r="C72" s="161">
        <f>Utilidad!A69</f>
        <v>0</v>
      </c>
      <c r="D72" s="162">
        <f>IF(Utilidad!C69&gt;1,Utilidad!C69/100,Utilidad!C69)</f>
        <v>0</v>
      </c>
      <c r="F72" s="157" t="s">
        <v>193</v>
      </c>
      <c r="G72" s="161">
        <f>Utilidad!B69</f>
        <v>0</v>
      </c>
      <c r="H72" s="169">
        <f>IF(Utilidad!D69&gt;1,Utilidad!D69/100,Utilidad!D69)</f>
        <v>0</v>
      </c>
      <c r="J72" s="166">
        <f t="shared" si="4"/>
        <v>0</v>
      </c>
      <c r="K72" s="166">
        <f t="shared" si="5"/>
        <v>0</v>
      </c>
      <c r="M72" s="168">
        <f t="shared" si="6"/>
        <v>0</v>
      </c>
      <c r="N72" s="168">
        <f t="shared" si="7"/>
        <v>0</v>
      </c>
    </row>
  </sheetData>
  <mergeCells count="3">
    <mergeCell ref="B2:D2"/>
    <mergeCell ref="F2:H2"/>
    <mergeCell ref="J2:K2"/>
  </mergeCells>
  <conditionalFormatting sqref="L4:L5 J4:K72">
    <cfRule type="expression" dxfId="0" priority="2">
      <formula>ABS(J4)&gt;=10%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S153"/>
  <sheetViews>
    <sheetView topLeftCell="E107" zoomScale="110" zoomScaleNormal="110" workbookViewId="0">
      <selection activeCell="G117" activeCellId="32" sqref="H24 H26 H28 J15 J41 L37:L41 N37:N41 Q15 Q24 Q26 Q28 W15 Z24 Z26 Z28 AA37:AA40 AC37:AC40 AI24 AI26 AI28 AO37:AO44 AQ37:AQ44 AR24 AR26 AR28 AS37:AS44 BG37:BG41 BH27:BH28 BI37:BI41 BK27:BK30 BK37:BK41 BN27:BN30 G117"/>
    </sheetView>
  </sheetViews>
  <sheetFormatPr baseColWidth="10" defaultColWidth="11.5546875" defaultRowHeight="15" customHeight="1"/>
  <cols>
    <col min="1" max="1" width="3" customWidth="1"/>
    <col min="6" max="6" width="9.77734375" customWidth="1"/>
    <col min="7" max="7" width="10.77734375" customWidth="1"/>
    <col min="8" max="8" width="15.109375" customWidth="1"/>
    <col min="9" max="9" width="12.77734375" customWidth="1"/>
    <col min="10" max="10" width="12.44140625" customWidth="1"/>
    <col min="11" max="11" width="13.44140625" customWidth="1"/>
    <col min="13" max="13" width="10.77734375" customWidth="1"/>
    <col min="14" max="14" width="13.44140625" customWidth="1"/>
    <col min="16" max="16" width="17.77734375" customWidth="1"/>
  </cols>
  <sheetData>
    <row r="2" spans="2:19" ht="14.4">
      <c r="B2" s="174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6"/>
    </row>
    <row r="3" spans="2:19" ht="14.4">
      <c r="B3" s="177"/>
      <c r="S3" s="178"/>
    </row>
    <row r="4" spans="2:19" ht="14.4">
      <c r="B4" s="177"/>
      <c r="S4" s="178"/>
    </row>
    <row r="5" spans="2:19" ht="14.4">
      <c r="B5" s="177"/>
      <c r="S5" s="178"/>
    </row>
    <row r="6" spans="2:19" ht="14.4">
      <c r="B6" s="177"/>
      <c r="E6" s="179">
        <f>Flujos!G4</f>
        <v>84594</v>
      </c>
      <c r="S6" s="178"/>
    </row>
    <row r="7" spans="2:19" ht="14.4">
      <c r="B7" s="177"/>
      <c r="E7" s="180">
        <f>Flujos!H4</f>
        <v>0.2685050933</v>
      </c>
      <c r="I7" s="179">
        <f>+Utilidad!J65</f>
        <v>0</v>
      </c>
      <c r="L7" s="181">
        <f>+Utilidad!J68</f>
        <v>0</v>
      </c>
      <c r="Q7" s="181">
        <f>Flujos!G12</f>
        <v>10522.695793999999</v>
      </c>
      <c r="S7" s="178"/>
    </row>
    <row r="8" spans="2:19" ht="14.4">
      <c r="B8" s="177"/>
      <c r="E8" s="182">
        <f>E6*E7</f>
        <v>22713.919862620201</v>
      </c>
      <c r="I8" s="180">
        <f>+Utilidad!K65</f>
        <v>0</v>
      </c>
      <c r="L8" s="183">
        <f>+Utilidad!K68</f>
        <v>0</v>
      </c>
      <c r="Q8" s="183">
        <f>Flujos!H12</f>
        <v>0.22467656641</v>
      </c>
      <c r="S8" s="178"/>
    </row>
    <row r="9" spans="2:19" ht="14.4">
      <c r="B9" s="177"/>
      <c r="I9" s="182">
        <f>+Utilidad!L65</f>
        <v>0</v>
      </c>
      <c r="L9" s="184">
        <f>+Utilidad!L68</f>
        <v>0</v>
      </c>
      <c r="Q9" s="184">
        <f>Q7*Q8</f>
        <v>2364.2031603728688</v>
      </c>
      <c r="S9" s="178"/>
    </row>
    <row r="10" spans="2:19" ht="14.4">
      <c r="B10" s="177"/>
      <c r="E10" s="179">
        <f>+Utilidad!J63</f>
        <v>0</v>
      </c>
      <c r="S10" s="178"/>
    </row>
    <row r="11" spans="2:19" ht="14.4">
      <c r="B11" s="177"/>
      <c r="E11" s="180">
        <f>+Utilidad!K63</f>
        <v>0</v>
      </c>
      <c r="Q11" s="181">
        <f>+Utilidad!J71</f>
        <v>6698.3042057000002</v>
      </c>
      <c r="S11" s="178"/>
    </row>
    <row r="12" spans="2:19" ht="14.4">
      <c r="B12" s="177"/>
      <c r="C12" s="179">
        <f>+Utilidad!J101</f>
        <v>0</v>
      </c>
      <c r="E12" s="182">
        <f>+Utilidad!L63</f>
        <v>0</v>
      </c>
      <c r="Q12" s="183">
        <f>+Utilidad!K71</f>
        <v>0.10987340284</v>
      </c>
      <c r="S12" s="178"/>
    </row>
    <row r="13" spans="2:19" ht="14.4">
      <c r="B13" s="177"/>
      <c r="C13" s="180">
        <f>+Utilidad!K101</f>
        <v>0</v>
      </c>
      <c r="H13" s="185">
        <f>+Utilidad!J66</f>
        <v>0</v>
      </c>
      <c r="N13" s="179">
        <f>+Utilidad!J72</f>
        <v>39752</v>
      </c>
      <c r="Q13" s="184">
        <f>+Utilidad!L71</f>
        <v>735.9654763377423</v>
      </c>
      <c r="S13" s="178"/>
    </row>
    <row r="14" spans="2:19" ht="14.4">
      <c r="B14" s="177"/>
      <c r="C14" s="182">
        <f>+Utilidad!L101</f>
        <v>0</v>
      </c>
      <c r="H14" s="186">
        <f>+Utilidad!K66</f>
        <v>0</v>
      </c>
      <c r="J14" s="187">
        <f>+I7+H13-L14-L7</f>
        <v>0</v>
      </c>
      <c r="L14" s="181">
        <f>+Utilidad!J69</f>
        <v>0</v>
      </c>
      <c r="N14" s="180">
        <f>+Utilidad!K72</f>
        <v>0.39823324780000002</v>
      </c>
      <c r="S14" s="178"/>
    </row>
    <row r="15" spans="2:19" ht="14.4">
      <c r="B15" s="177"/>
      <c r="G15" s="188">
        <f>Flujos!G6</f>
        <v>28540</v>
      </c>
      <c r="H15" s="189">
        <f>+Utilidad!L66</f>
        <v>0</v>
      </c>
      <c r="L15" s="183">
        <f>+Utilidad!K69</f>
        <v>0</v>
      </c>
      <c r="N15" s="182">
        <f>+Utilidad!L72</f>
        <v>15830.5680665456</v>
      </c>
      <c r="S15" s="178"/>
    </row>
    <row r="16" spans="2:19" ht="14.4">
      <c r="B16" s="177"/>
      <c r="E16" s="190">
        <f>+C12-E10</f>
        <v>0</v>
      </c>
      <c r="G16" s="191">
        <f>Flujos!H6</f>
        <v>0.13664454575000001</v>
      </c>
      <c r="L16" s="184">
        <f>+Utilidad!L69</f>
        <v>0</v>
      </c>
      <c r="P16" t="s">
        <v>161</v>
      </c>
      <c r="S16" s="178"/>
    </row>
    <row r="17" spans="2:19" ht="14.4">
      <c r="B17" s="177"/>
      <c r="G17" s="192">
        <f>G15*G16</f>
        <v>3899.8353357050005</v>
      </c>
      <c r="P17" s="181">
        <f>Flujos!G70</f>
        <v>0</v>
      </c>
      <c r="S17" s="178"/>
    </row>
    <row r="18" spans="2:19" ht="14.4">
      <c r="B18" s="177"/>
      <c r="K18" s="179">
        <f>Flujos!C56</f>
        <v>38885</v>
      </c>
      <c r="P18" s="183">
        <f>Flujos!H70</f>
        <v>0</v>
      </c>
      <c r="S18" s="178"/>
    </row>
    <row r="19" spans="2:19" ht="14.4">
      <c r="B19" s="177"/>
      <c r="K19" s="180">
        <f>Flujos!D56</f>
        <v>0.45810000000000001</v>
      </c>
      <c r="P19" s="184">
        <f>P17*P18</f>
        <v>0</v>
      </c>
      <c r="S19" s="178"/>
    </row>
    <row r="20" spans="2:19" ht="14.4">
      <c r="B20" s="177"/>
      <c r="K20" s="182">
        <f>K18*K19</f>
        <v>17813.218499999999</v>
      </c>
      <c r="L20" s="179">
        <f>+Utilidad!J76</f>
        <v>77237</v>
      </c>
      <c r="N20" s="187">
        <f>+L14+N13+K18-M22-L20</f>
        <v>-7341</v>
      </c>
      <c r="S20" s="178"/>
    </row>
    <row r="21" spans="2:19" ht="14.4">
      <c r="B21" s="177"/>
      <c r="S21" s="178"/>
    </row>
    <row r="22" spans="2:19" ht="14.4">
      <c r="B22" s="177"/>
      <c r="L22" s="180">
        <f>+Utilidad!K76</f>
        <v>0.42206362572000006</v>
      </c>
      <c r="M22" s="179">
        <f>+Utilidad!J74</f>
        <v>8741</v>
      </c>
      <c r="O22" s="179">
        <f>+Utilidad!J73</f>
        <v>10552</v>
      </c>
      <c r="S22" s="178"/>
    </row>
    <row r="23" spans="2:19" ht="14.4">
      <c r="B23" s="177"/>
      <c r="L23" s="182">
        <f>+Utilidad!L76</f>
        <v>32598.928259735643</v>
      </c>
      <c r="M23" s="180">
        <f>+Utilidad!K74</f>
        <v>0.47725728480000001</v>
      </c>
      <c r="O23" s="180">
        <f>+Utilidad!K73</f>
        <v>0.47936119890000001</v>
      </c>
      <c r="S23" s="178"/>
    </row>
    <row r="24" spans="2:19" ht="14.4">
      <c r="B24" s="177"/>
      <c r="M24" s="182">
        <f>+Utilidad!L74</f>
        <v>4171.7059264367999</v>
      </c>
      <c r="O24" s="182">
        <f>+Utilidad!L73</f>
        <v>5058.2193707928</v>
      </c>
      <c r="Q24" t="e">
        <f>+(O22+N13)/(L7)</f>
        <v>#DIV/0!</v>
      </c>
      <c r="S24" s="178"/>
    </row>
    <row r="25" spans="2:19" ht="14.4">
      <c r="B25" s="177"/>
      <c r="C25" s="193"/>
      <c r="G25" s="179">
        <f>+Utilidad!J105</f>
        <v>0</v>
      </c>
      <c r="S25" s="178"/>
    </row>
    <row r="26" spans="2:19" ht="14.4">
      <c r="B26" s="177"/>
      <c r="C26" s="194">
        <f>+Utilidad!J103</f>
        <v>0</v>
      </c>
      <c r="G26" s="180">
        <f>+Utilidad!K105</f>
        <v>0</v>
      </c>
      <c r="S26" s="178"/>
    </row>
    <row r="27" spans="2:19" ht="14.4">
      <c r="B27" s="177"/>
      <c r="C27" s="195">
        <f>+Utilidad!K103</f>
        <v>0</v>
      </c>
      <c r="G27" s="182">
        <f>+Utilidad!L105</f>
        <v>0</v>
      </c>
      <c r="Q27">
        <f>+(K28)/(L20+M22+O22)</f>
        <v>0.5973997720915778</v>
      </c>
      <c r="S27" s="178"/>
    </row>
    <row r="28" spans="2:19" ht="14.4">
      <c r="B28" s="177"/>
      <c r="C28" s="196">
        <f>+Utilidad!L103</f>
        <v>0</v>
      </c>
      <c r="K28" s="188">
        <f>+Utilidad!J78</f>
        <v>57667</v>
      </c>
      <c r="S28" s="178"/>
    </row>
    <row r="29" spans="2:19" ht="14.4">
      <c r="B29" s="177"/>
      <c r="C29" s="193"/>
      <c r="F29" s="197">
        <f>+C26-G25</f>
        <v>0</v>
      </c>
      <c r="K29" s="191">
        <f>+Utilidad!K78</f>
        <v>0.6472</v>
      </c>
      <c r="M29">
        <f>K28/(L20+M22+O22)</f>
        <v>0.5973997720915778</v>
      </c>
      <c r="O29" s="198">
        <f>O22+L20+M22</f>
        <v>96530</v>
      </c>
      <c r="S29" s="178"/>
    </row>
    <row r="30" spans="2:19" ht="14.4">
      <c r="B30" s="177"/>
      <c r="C30" s="193"/>
      <c r="I30" s="188">
        <f>+Utilidad!J77</f>
        <v>38863</v>
      </c>
      <c r="K30" s="192">
        <f>+Utilidad!L78</f>
        <v>37322.082399999999</v>
      </c>
      <c r="O30" s="198">
        <f>O29-K28</f>
        <v>38863</v>
      </c>
      <c r="S30" s="178"/>
    </row>
    <row r="31" spans="2:19" ht="14.4">
      <c r="B31" s="177"/>
      <c r="C31" s="193"/>
      <c r="I31" s="191">
        <f>+Utilidad!K77</f>
        <v>0.11596560113000001</v>
      </c>
      <c r="S31" s="178"/>
    </row>
    <row r="32" spans="2:19" ht="14.4">
      <c r="B32" s="177"/>
      <c r="C32" s="193"/>
      <c r="I32" s="192">
        <f>I30*I31</f>
        <v>4506.77115671519</v>
      </c>
      <c r="S32" s="178"/>
    </row>
    <row r="33" spans="2:19" ht="14.4">
      <c r="B33" s="177"/>
      <c r="C33" s="193"/>
      <c r="S33" s="178"/>
    </row>
    <row r="34" spans="2:19" ht="14.4">
      <c r="B34" s="177"/>
      <c r="C34" s="193"/>
      <c r="G34" s="179">
        <f>+Utilidad!J108</f>
        <v>0</v>
      </c>
      <c r="L34" s="187"/>
      <c r="S34" s="178"/>
    </row>
    <row r="35" spans="2:19" ht="14.4">
      <c r="B35" s="177"/>
      <c r="C35" s="194">
        <f>+Utilidad!J106</f>
        <v>0</v>
      </c>
      <c r="G35" s="180">
        <f>+Utilidad!K108</f>
        <v>0</v>
      </c>
      <c r="M35" s="198"/>
      <c r="N35" s="198"/>
      <c r="S35" s="178"/>
    </row>
    <row r="36" spans="2:19" ht="14.4">
      <c r="B36" s="177"/>
      <c r="C36" s="195">
        <f>+Utilidad!K106</f>
        <v>0</v>
      </c>
      <c r="G36" s="182">
        <f>+Utilidad!L108</f>
        <v>0</v>
      </c>
      <c r="S36" s="178"/>
    </row>
    <row r="37" spans="2:19" ht="14.4">
      <c r="B37" s="177"/>
      <c r="C37" s="196">
        <f>+Utilidad!L106</f>
        <v>0</v>
      </c>
      <c r="S37" s="178"/>
    </row>
    <row r="38" spans="2:19" ht="14.4">
      <c r="B38" s="177"/>
      <c r="C38" s="193"/>
      <c r="F38" s="197">
        <f>+C35-G34</f>
        <v>0</v>
      </c>
      <c r="S38" s="178"/>
    </row>
    <row r="39" spans="2:19" ht="14.4">
      <c r="B39" s="177"/>
      <c r="C39" s="193"/>
      <c r="K39" s="199">
        <f>K28-(I53+L53)</f>
        <v>-10254</v>
      </c>
      <c r="N39" s="198"/>
      <c r="S39" s="178"/>
    </row>
    <row r="40" spans="2:19" ht="14.4">
      <c r="B40" s="177"/>
      <c r="C40" s="193"/>
      <c r="S40" s="178"/>
    </row>
    <row r="41" spans="2:19" ht="14.4">
      <c r="B41" s="177"/>
      <c r="C41" s="193"/>
      <c r="S41" s="178"/>
    </row>
    <row r="42" spans="2:19" ht="14.4">
      <c r="B42" s="177"/>
      <c r="C42" s="193"/>
      <c r="S42" s="178"/>
    </row>
    <row r="43" spans="2:19" ht="14.4">
      <c r="B43" s="177"/>
      <c r="C43" s="193"/>
      <c r="S43" s="178"/>
    </row>
    <row r="44" spans="2:19" ht="14.4">
      <c r="B44" s="177"/>
      <c r="C44" s="194">
        <f>+Utilidad!J109</f>
        <v>0</v>
      </c>
      <c r="G44" s="179">
        <f>+Utilidad!J111</f>
        <v>0</v>
      </c>
      <c r="S44" s="178"/>
    </row>
    <row r="45" spans="2:19" ht="14.4">
      <c r="B45" s="177"/>
      <c r="C45" s="195">
        <f>+Utilidad!K109</f>
        <v>0</v>
      </c>
      <c r="G45" s="180">
        <f>+Utilidad!K111</f>
        <v>0</v>
      </c>
      <c r="S45" s="178"/>
    </row>
    <row r="46" spans="2:19" ht="14.4">
      <c r="B46" s="177"/>
      <c r="C46" s="196">
        <f>+Utilidad!L109</f>
        <v>0</v>
      </c>
      <c r="G46" s="182">
        <f>+Utilidad!L111</f>
        <v>0</v>
      </c>
      <c r="S46" s="178"/>
    </row>
    <row r="47" spans="2:19" ht="14.4">
      <c r="B47" s="177"/>
      <c r="C47" s="193"/>
      <c r="S47" s="178"/>
    </row>
    <row r="48" spans="2:19" ht="14.4">
      <c r="B48" s="177"/>
      <c r="C48" s="193"/>
      <c r="F48" s="197">
        <f>+C44-G44</f>
        <v>0</v>
      </c>
      <c r="S48" s="178"/>
    </row>
    <row r="49" spans="2:19" ht="14.4">
      <c r="B49" s="177"/>
      <c r="C49" s="193"/>
      <c r="S49" s="178"/>
    </row>
    <row r="50" spans="2:19" ht="14.4">
      <c r="B50" s="177"/>
      <c r="C50" s="193"/>
      <c r="S50" s="178"/>
    </row>
    <row r="51" spans="2:19" ht="14.4">
      <c r="B51" s="177"/>
      <c r="C51" s="193"/>
      <c r="S51" s="178"/>
    </row>
    <row r="52" spans="2:19" ht="14.4">
      <c r="B52" s="177"/>
      <c r="C52" s="193"/>
      <c r="S52" s="178"/>
    </row>
    <row r="53" spans="2:19" ht="14.4">
      <c r="B53" s="177"/>
      <c r="C53" s="193"/>
      <c r="I53" s="185">
        <f>+Utilidad!J82</f>
        <v>1358</v>
      </c>
      <c r="L53" s="185">
        <f>+Utilidad!J83</f>
        <v>66563</v>
      </c>
      <c r="S53" s="178"/>
    </row>
    <row r="54" spans="2:19" ht="14.4">
      <c r="B54" s="177"/>
      <c r="C54" s="194">
        <f>+Utilidad!J112</f>
        <v>0</v>
      </c>
      <c r="I54" s="186">
        <f>+Utilidad!K82</f>
        <v>0.64723202573999994</v>
      </c>
      <c r="L54" s="186">
        <f>+Utilidad!K83</f>
        <v>0.64721222532</v>
      </c>
      <c r="S54" s="178"/>
    </row>
    <row r="55" spans="2:19" ht="14.4">
      <c r="B55" s="177"/>
      <c r="C55" s="195">
        <f>+Utilidad!K112</f>
        <v>0</v>
      </c>
      <c r="I55" s="189">
        <f>+Utilidad!L82</f>
        <v>878.9410909549199</v>
      </c>
      <c r="L55" s="189">
        <f>+Utilidad!L83</f>
        <v>43080.387353975158</v>
      </c>
      <c r="S55" s="178"/>
    </row>
    <row r="56" spans="2:19" ht="14.4">
      <c r="B56" s="177"/>
      <c r="C56" s="196">
        <f>+Utilidad!L112</f>
        <v>0</v>
      </c>
      <c r="S56" s="178"/>
    </row>
    <row r="57" spans="2:19" ht="14.4">
      <c r="B57" s="177"/>
      <c r="S57" s="178"/>
    </row>
    <row r="58" spans="2:19" ht="14.4">
      <c r="B58" s="177"/>
      <c r="M58" s="181">
        <f>Flujos!G24</f>
        <v>1358</v>
      </c>
      <c r="N58" s="200">
        <f>+M58/(L53+I53)</f>
        <v>1.9993816345460168E-2</v>
      </c>
      <c r="S58" s="178"/>
    </row>
    <row r="59" spans="2:19" ht="14.4">
      <c r="B59" s="177"/>
      <c r="M59" s="183">
        <f>Flujos!H24</f>
        <v>0.64723202573999994</v>
      </c>
      <c r="S59" s="178"/>
    </row>
    <row r="60" spans="2:19" ht="14.4">
      <c r="B60" s="177"/>
      <c r="M60" s="184">
        <f>M59*M58</f>
        <v>878.9410909549199</v>
      </c>
      <c r="S60" s="178"/>
    </row>
    <row r="61" spans="2:19" ht="14.4">
      <c r="B61" s="177"/>
      <c r="S61" s="178"/>
    </row>
    <row r="62" spans="2:19" ht="14.4">
      <c r="B62" s="177"/>
      <c r="C62" s="179">
        <f>Flujos!C55</f>
        <v>38885</v>
      </c>
      <c r="S62" s="178"/>
    </row>
    <row r="63" spans="2:19" ht="14.4">
      <c r="B63" s="177"/>
      <c r="C63" s="180">
        <f>Flujos!D55</f>
        <v>0.45810000000000001</v>
      </c>
      <c r="O63" s="185">
        <f>Flujos!G27</f>
        <v>0</v>
      </c>
      <c r="S63" s="178"/>
    </row>
    <row r="64" spans="2:19" ht="14.4">
      <c r="B64" s="177"/>
      <c r="C64" s="182">
        <f>C63*C62</f>
        <v>17813.218499999999</v>
      </c>
      <c r="O64" s="186">
        <f>Flujos!H27</f>
        <v>0</v>
      </c>
      <c r="S64" s="178"/>
    </row>
    <row r="65" spans="2:19" ht="14.4">
      <c r="B65" s="177"/>
      <c r="F65" s="185">
        <f>I112</f>
        <v>0</v>
      </c>
      <c r="G65" t="s">
        <v>194</v>
      </c>
      <c r="L65" s="181">
        <f>Flujos!G25</f>
        <v>66563</v>
      </c>
      <c r="O65" s="189">
        <f>O63*O64</f>
        <v>0</v>
      </c>
      <c r="S65" s="178"/>
    </row>
    <row r="66" spans="2:19" ht="14.4">
      <c r="B66" s="177"/>
      <c r="F66" s="185">
        <f>I113</f>
        <v>1643</v>
      </c>
      <c r="G66" t="s">
        <v>195</v>
      </c>
      <c r="L66" s="183">
        <f>Flujos!H25</f>
        <v>0.64721222532</v>
      </c>
      <c r="S66" s="178"/>
    </row>
    <row r="67" spans="2:19" ht="14.4">
      <c r="B67" s="177"/>
      <c r="F67" s="185">
        <f>I114</f>
        <v>0</v>
      </c>
      <c r="G67" t="s">
        <v>196</v>
      </c>
      <c r="L67" s="184">
        <f>L66*L65</f>
        <v>43080.387353975158</v>
      </c>
      <c r="N67" s="190">
        <f>Flujos!G26</f>
        <v>66506</v>
      </c>
      <c r="O67" s="185">
        <f>Flujos!G28</f>
        <v>0</v>
      </c>
      <c r="S67" s="178"/>
    </row>
    <row r="68" spans="2:19" ht="14.4">
      <c r="B68" s="177"/>
      <c r="O68" s="186">
        <f>Flujos!H28</f>
        <v>0</v>
      </c>
      <c r="S68" s="178"/>
    </row>
    <row r="69" spans="2:19" ht="14.4">
      <c r="B69" s="177"/>
      <c r="O69" s="189">
        <f>O67*O68</f>
        <v>0</v>
      </c>
      <c r="S69" s="178"/>
    </row>
    <row r="70" spans="2:19" ht="14.4">
      <c r="B70" s="177"/>
      <c r="H70" s="185">
        <f>Flujos!G29</f>
        <v>0</v>
      </c>
      <c r="K70" s="185">
        <f>Flujos!G22</f>
        <v>0</v>
      </c>
      <c r="S70" s="178"/>
    </row>
    <row r="71" spans="2:19" ht="14.4">
      <c r="B71" s="177"/>
      <c r="H71" s="186">
        <f>Flujos!H29</f>
        <v>0</v>
      </c>
      <c r="K71" s="186">
        <f>Flujos!H22</f>
        <v>0</v>
      </c>
      <c r="S71" s="178"/>
    </row>
    <row r="72" spans="2:19" ht="14.4">
      <c r="B72" s="177"/>
      <c r="H72" s="189">
        <f>H70*H71</f>
        <v>0</v>
      </c>
      <c r="K72" s="189">
        <f>K70*K71</f>
        <v>0</v>
      </c>
      <c r="S72" s="178"/>
    </row>
    <row r="73" spans="2:19" ht="14.4">
      <c r="B73" s="177"/>
      <c r="S73" s="178"/>
    </row>
    <row r="74" spans="2:19" ht="14.4">
      <c r="B74" s="177"/>
      <c r="L74" s="185">
        <f>Flujos!G35</f>
        <v>0</v>
      </c>
      <c r="O74" s="185">
        <f>Flujos!G33</f>
        <v>0</v>
      </c>
      <c r="S74" s="178"/>
    </row>
    <row r="75" spans="2:19" ht="14.4">
      <c r="B75" s="177"/>
      <c r="H75" s="185">
        <f>Flujos!G30</f>
        <v>0</v>
      </c>
      <c r="J75" s="190">
        <f>Flujos!G31</f>
        <v>0</v>
      </c>
      <c r="L75" s="186">
        <f>Flujos!H35</f>
        <v>0</v>
      </c>
      <c r="N75" s="190">
        <f>Flujos!G34</f>
        <v>4584</v>
      </c>
      <c r="O75" s="186">
        <f>Flujos!H33</f>
        <v>0</v>
      </c>
      <c r="S75" s="178"/>
    </row>
    <row r="76" spans="2:19" ht="14.4">
      <c r="B76" s="177"/>
      <c r="H76" s="186">
        <f>Flujos!H30</f>
        <v>0</v>
      </c>
      <c r="L76" s="189">
        <f>L74*L75</f>
        <v>0</v>
      </c>
      <c r="O76" s="189">
        <f>O74*O75</f>
        <v>0</v>
      </c>
      <c r="S76" s="178"/>
    </row>
    <row r="77" spans="2:19" ht="14.4">
      <c r="B77" s="177"/>
      <c r="H77" s="189">
        <f>H76*H75</f>
        <v>0</v>
      </c>
      <c r="S77" s="178"/>
    </row>
    <row r="78" spans="2:19" ht="14.4">
      <c r="B78" s="177"/>
      <c r="L78" s="185">
        <f>Flujos!G36</f>
        <v>0</v>
      </c>
      <c r="S78" s="178"/>
    </row>
    <row r="79" spans="2:19" ht="14.4">
      <c r="B79" s="177"/>
      <c r="L79" s="186">
        <f>Flujos!H36</f>
        <v>0</v>
      </c>
      <c r="Q79" s="185">
        <f>Flujos!G58</f>
        <v>57</v>
      </c>
      <c r="S79" s="178"/>
    </row>
    <row r="80" spans="2:19" ht="14.4">
      <c r="B80" s="177"/>
      <c r="L80" s="189">
        <f>L79*L78</f>
        <v>0</v>
      </c>
      <c r="Q80" s="186">
        <f>Flujos!H58</f>
        <v>0.6472</v>
      </c>
      <c r="S80" s="178"/>
    </row>
    <row r="81" spans="2:19" ht="14.4">
      <c r="B81" s="177"/>
      <c r="Q81" s="189">
        <f>Q79*Q80</f>
        <v>36.8904</v>
      </c>
      <c r="S81" s="178"/>
    </row>
    <row r="82" spans="2:19" ht="14.4">
      <c r="B82" s="177"/>
      <c r="K82" s="185">
        <f>Flujos!G57</f>
        <v>2198</v>
      </c>
      <c r="S82" s="178"/>
    </row>
    <row r="83" spans="2:19" ht="14.4">
      <c r="B83" s="177"/>
      <c r="K83" s="186">
        <f>Flujos!H57</f>
        <v>0.62729999999999997</v>
      </c>
      <c r="S83" s="178"/>
    </row>
    <row r="84" spans="2:19" ht="14.4">
      <c r="B84" s="177"/>
      <c r="K84" s="189">
        <f>K82*K83</f>
        <v>1378.8054</v>
      </c>
      <c r="O84" s="185">
        <f>Flujos!G40</f>
        <v>0</v>
      </c>
      <c r="S84" s="178"/>
    </row>
    <row r="85" spans="2:19" ht="14.4">
      <c r="B85" s="177"/>
      <c r="H85" s="198">
        <f>5562+L74</f>
        <v>5562</v>
      </c>
      <c r="O85" s="186">
        <f>Flujos!H40</f>
        <v>0</v>
      </c>
      <c r="S85" s="178"/>
    </row>
    <row r="86" spans="2:19" ht="14.4">
      <c r="B86" s="177"/>
      <c r="K86" s="185">
        <f>+Utilidad!J98</f>
        <v>0</v>
      </c>
      <c r="O86" s="189">
        <f>O84*O85</f>
        <v>0</v>
      </c>
      <c r="S86" s="178"/>
    </row>
    <row r="87" spans="2:19" ht="14.4">
      <c r="B87" s="177"/>
      <c r="K87" s="186">
        <f>+Utilidad!K98</f>
        <v>0</v>
      </c>
      <c r="Q87" t="s">
        <v>188</v>
      </c>
      <c r="S87" s="178"/>
    </row>
    <row r="88" spans="2:19" ht="14.4">
      <c r="B88" s="177"/>
      <c r="K88" s="189">
        <f>+Utilidad!L98</f>
        <v>0</v>
      </c>
      <c r="N88" s="201">
        <f>+L90+K86-O84</f>
        <v>0</v>
      </c>
      <c r="S88" s="178"/>
    </row>
    <row r="89" spans="2:19" ht="14.4">
      <c r="B89" s="177"/>
      <c r="S89" s="178"/>
    </row>
    <row r="90" spans="2:19" ht="14.4">
      <c r="B90" s="177"/>
      <c r="L90" s="185">
        <f>+Utilidad!J97</f>
        <v>0</v>
      </c>
      <c r="R90" t="s">
        <v>189</v>
      </c>
      <c r="S90" s="178"/>
    </row>
    <row r="91" spans="2:19" ht="14.4">
      <c r="B91" s="177"/>
      <c r="L91" s="186">
        <f>+Utilidad!K97</f>
        <v>0</v>
      </c>
      <c r="S91" s="178"/>
    </row>
    <row r="92" spans="2:19" ht="14.4">
      <c r="B92" s="177"/>
      <c r="L92" s="189">
        <f>+Utilidad!L97</f>
        <v>0</v>
      </c>
      <c r="S92" s="178"/>
    </row>
    <row r="93" spans="2:19" ht="14.4">
      <c r="B93" s="177"/>
      <c r="P93" t="s">
        <v>190</v>
      </c>
      <c r="S93" s="178"/>
    </row>
    <row r="94" spans="2:19" ht="14.4">
      <c r="B94" s="202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4"/>
      <c r="Q94" s="203"/>
      <c r="R94" s="203"/>
      <c r="S94" s="204"/>
    </row>
    <row r="95" spans="2:19" ht="15.6">
      <c r="G95" s="205" t="s">
        <v>197</v>
      </c>
    </row>
    <row r="96" spans="2:19" ht="25.5" customHeight="1">
      <c r="G96" s="249" t="s">
        <v>28</v>
      </c>
      <c r="H96" s="249"/>
      <c r="I96" s="249"/>
      <c r="J96" s="250" t="s">
        <v>198</v>
      </c>
      <c r="K96" s="250"/>
      <c r="L96" s="250"/>
      <c r="M96" s="251" t="s">
        <v>29</v>
      </c>
      <c r="N96" s="251"/>
      <c r="O96" s="251"/>
      <c r="P96" s="251"/>
    </row>
    <row r="97" spans="7:16" ht="25.5" customHeight="1">
      <c r="G97" s="252" t="s">
        <v>199</v>
      </c>
      <c r="H97" s="252"/>
      <c r="I97" s="206">
        <f>+E6</f>
        <v>84594</v>
      </c>
      <c r="J97" s="253" t="s">
        <v>32</v>
      </c>
      <c r="K97" s="253"/>
      <c r="L97" s="207">
        <f>Flujos!G9</f>
        <v>-2486</v>
      </c>
      <c r="M97" s="254" t="s">
        <v>200</v>
      </c>
      <c r="N97" s="254"/>
      <c r="O97" s="254"/>
      <c r="P97" s="207">
        <f>+G15</f>
        <v>28540</v>
      </c>
    </row>
    <row r="98" spans="7:16" ht="25.5" customHeight="1">
      <c r="G98" s="252" t="s">
        <v>201</v>
      </c>
      <c r="H98" s="252"/>
      <c r="I98" s="206">
        <f>+C12</f>
        <v>0</v>
      </c>
      <c r="J98" s="254" t="s">
        <v>36</v>
      </c>
      <c r="K98" s="254"/>
      <c r="L98" s="207">
        <f>Flujos!G17</f>
        <v>-7341</v>
      </c>
      <c r="M98" s="254" t="s">
        <v>181</v>
      </c>
      <c r="N98" s="254"/>
      <c r="O98" s="254"/>
      <c r="P98" s="207">
        <f>+Q7</f>
        <v>10522.695793999999</v>
      </c>
    </row>
    <row r="99" spans="7:16" ht="25.5" customHeight="1">
      <c r="G99" s="252" t="s">
        <v>202</v>
      </c>
      <c r="H99" s="252"/>
      <c r="I99" s="206">
        <f>+H13</f>
        <v>0</v>
      </c>
      <c r="J99" s="254" t="s">
        <v>203</v>
      </c>
      <c r="K99" s="254"/>
      <c r="L99" s="207">
        <v>0</v>
      </c>
      <c r="M99" s="254" t="s">
        <v>97</v>
      </c>
      <c r="N99" s="254"/>
      <c r="O99" s="254"/>
      <c r="P99" s="207">
        <f>+Q11</f>
        <v>6698.3042057000002</v>
      </c>
    </row>
    <row r="100" spans="7:16" ht="25.5" customHeight="1">
      <c r="G100" s="255" t="s">
        <v>204</v>
      </c>
      <c r="H100" s="255"/>
      <c r="I100" s="206">
        <f>+C26</f>
        <v>0</v>
      </c>
      <c r="J100" s="254" t="s">
        <v>205</v>
      </c>
      <c r="K100" s="254"/>
      <c r="L100" s="207">
        <f>Flujos!G21</f>
        <v>-10255</v>
      </c>
      <c r="M100" s="254" t="s">
        <v>206</v>
      </c>
      <c r="N100" s="254"/>
      <c r="O100" s="254"/>
      <c r="P100" s="207">
        <f>+I30</f>
        <v>38863</v>
      </c>
    </row>
    <row r="101" spans="7:16" ht="25.5" customHeight="1">
      <c r="G101" s="255" t="s">
        <v>132</v>
      </c>
      <c r="H101" s="255"/>
      <c r="I101" s="206">
        <f>+C35</f>
        <v>0</v>
      </c>
      <c r="J101" s="254" t="s">
        <v>207</v>
      </c>
      <c r="K101" s="254"/>
      <c r="L101" s="207">
        <f>Flujos!G31</f>
        <v>0</v>
      </c>
      <c r="M101" s="254" t="s">
        <v>208</v>
      </c>
      <c r="N101" s="254"/>
      <c r="O101" s="254"/>
      <c r="P101" s="207">
        <f>+M58</f>
        <v>1358</v>
      </c>
    </row>
    <row r="102" spans="7:16" ht="25.5" customHeight="1">
      <c r="G102" s="255" t="s">
        <v>135</v>
      </c>
      <c r="H102" s="255"/>
      <c r="I102" s="206">
        <f>+C44</f>
        <v>0</v>
      </c>
      <c r="J102" s="208" t="s">
        <v>209</v>
      </c>
      <c r="K102" s="208"/>
      <c r="L102" s="207">
        <f>Flujos!G44</f>
        <v>0</v>
      </c>
      <c r="M102" s="254" t="s">
        <v>152</v>
      </c>
      <c r="N102" s="254"/>
      <c r="O102" s="254"/>
      <c r="P102" s="207">
        <f>+O63</f>
        <v>0</v>
      </c>
    </row>
    <row r="103" spans="7:16" ht="25.5" customHeight="1">
      <c r="G103" s="255" t="s">
        <v>210</v>
      </c>
      <c r="H103" s="255"/>
      <c r="I103" s="206">
        <f>+C54</f>
        <v>0</v>
      </c>
      <c r="J103" s="208" t="s">
        <v>211</v>
      </c>
      <c r="K103" s="208"/>
      <c r="L103" s="207">
        <f>Flujos!G47</f>
        <v>0</v>
      </c>
      <c r="M103" s="254" t="s">
        <v>212</v>
      </c>
      <c r="N103" s="254"/>
      <c r="O103" s="254"/>
      <c r="P103" s="207">
        <f>+O67</f>
        <v>0</v>
      </c>
    </row>
    <row r="104" spans="7:16" ht="25.5" customHeight="1">
      <c r="G104" s="255" t="s">
        <v>213</v>
      </c>
      <c r="H104" s="255"/>
      <c r="I104" s="206">
        <f>+C62</f>
        <v>38885</v>
      </c>
      <c r="J104" s="208" t="s">
        <v>214</v>
      </c>
      <c r="K104" s="208"/>
      <c r="L104" s="207">
        <f>Flujos!G50</f>
        <v>0</v>
      </c>
      <c r="M104" s="254" t="s">
        <v>215</v>
      </c>
      <c r="N104" s="254"/>
      <c r="O104" s="254"/>
      <c r="P104" s="207">
        <f>+O74</f>
        <v>0</v>
      </c>
    </row>
    <row r="105" spans="7:16" ht="25.5" customHeight="1">
      <c r="G105" s="255" t="s">
        <v>216</v>
      </c>
      <c r="H105" s="255"/>
      <c r="I105" s="206">
        <f>+H70</f>
        <v>0</v>
      </c>
      <c r="J105" s="208" t="s">
        <v>217</v>
      </c>
      <c r="K105" s="208"/>
      <c r="L105" s="207">
        <f>Flujos!G53</f>
        <v>0</v>
      </c>
      <c r="M105" s="254" t="s">
        <v>154</v>
      </c>
      <c r="N105" s="254"/>
      <c r="O105" s="254"/>
      <c r="P105" s="207">
        <f>+O84</f>
        <v>0</v>
      </c>
    </row>
    <row r="106" spans="7:16" ht="25.5" customHeight="1">
      <c r="G106" s="255" t="s">
        <v>218</v>
      </c>
      <c r="H106" s="255"/>
      <c r="I106" s="206">
        <f>+H75</f>
        <v>0</v>
      </c>
      <c r="J106" s="254" t="s">
        <v>219</v>
      </c>
      <c r="K106" s="254"/>
      <c r="L106" s="207">
        <f>Flujos!G42</f>
        <v>0</v>
      </c>
      <c r="M106" s="254" t="s">
        <v>184</v>
      </c>
      <c r="N106" s="254"/>
      <c r="O106" s="254"/>
      <c r="P106" s="207">
        <f>Q79</f>
        <v>57</v>
      </c>
    </row>
    <row r="107" spans="7:16" ht="25.5" customHeight="1">
      <c r="G107" s="209" t="s">
        <v>220</v>
      </c>
      <c r="H107" s="210"/>
      <c r="I107" s="206">
        <f>+L74</f>
        <v>0</v>
      </c>
      <c r="J107" s="208" t="s">
        <v>221</v>
      </c>
      <c r="K107" s="208"/>
      <c r="L107" s="207">
        <f>Flujos!G26</f>
        <v>66506</v>
      </c>
      <c r="M107" s="254" t="s">
        <v>222</v>
      </c>
      <c r="N107" s="254"/>
      <c r="O107" s="254"/>
      <c r="P107" s="207"/>
    </row>
    <row r="108" spans="7:16" ht="25.5" customHeight="1">
      <c r="G108" s="209" t="s">
        <v>223</v>
      </c>
      <c r="H108" s="210"/>
      <c r="I108" s="206">
        <f>+L78</f>
        <v>0</v>
      </c>
      <c r="J108" s="254" t="s">
        <v>224</v>
      </c>
      <c r="K108" s="254"/>
      <c r="L108" s="207">
        <f>Flujos!G34</f>
        <v>4584</v>
      </c>
      <c r="M108" s="256"/>
      <c r="N108" s="256"/>
      <c r="O108" s="256"/>
      <c r="P108" s="207"/>
    </row>
    <row r="109" spans="7:16" ht="25.5" customHeight="1">
      <c r="G109" s="209" t="s">
        <v>225</v>
      </c>
      <c r="H109" s="210"/>
      <c r="I109" s="206">
        <f>+K86</f>
        <v>0</v>
      </c>
      <c r="J109" s="254" t="s">
        <v>226</v>
      </c>
      <c r="K109" s="254"/>
      <c r="L109" s="207">
        <f>Flujos!G39</f>
        <v>0</v>
      </c>
      <c r="M109" s="256"/>
      <c r="N109" s="256"/>
      <c r="O109" s="256"/>
      <c r="P109" s="207"/>
    </row>
    <row r="110" spans="7:16" ht="25.5" customHeight="1">
      <c r="G110" s="255" t="s">
        <v>227</v>
      </c>
      <c r="H110" s="255"/>
      <c r="I110" s="206">
        <f>+L90</f>
        <v>0</v>
      </c>
      <c r="J110" s="254" t="s">
        <v>228</v>
      </c>
      <c r="K110" s="254"/>
      <c r="L110" s="207">
        <f>Flujos!G69</f>
        <v>1332</v>
      </c>
      <c r="M110" s="254"/>
      <c r="N110" s="254"/>
      <c r="O110" s="254"/>
      <c r="P110" s="207"/>
    </row>
    <row r="111" spans="7:16" ht="25.5" customHeight="1">
      <c r="G111" s="255" t="s">
        <v>229</v>
      </c>
      <c r="H111" s="255"/>
      <c r="I111" s="206">
        <f>K82</f>
        <v>2198</v>
      </c>
      <c r="J111" s="254"/>
      <c r="K111" s="254"/>
      <c r="L111" s="207"/>
      <c r="M111" s="254"/>
      <c r="N111" s="254"/>
      <c r="O111" s="254"/>
      <c r="P111" s="207"/>
    </row>
    <row r="112" spans="7:16" ht="14.4">
      <c r="G112" s="255" t="s">
        <v>230</v>
      </c>
      <c r="H112" s="255" t="s">
        <v>185</v>
      </c>
      <c r="I112" s="206">
        <f>Flujos!G59</f>
        <v>0</v>
      </c>
      <c r="J112" s="254"/>
      <c r="K112" s="254"/>
      <c r="L112" s="207"/>
      <c r="M112" s="254"/>
      <c r="N112" s="254"/>
      <c r="O112" s="254"/>
      <c r="P112" s="207"/>
    </row>
    <row r="113" spans="7:16" ht="14.4">
      <c r="G113" s="255" t="s">
        <v>231</v>
      </c>
      <c r="H113" s="255" t="s">
        <v>186</v>
      </c>
      <c r="I113" s="206">
        <f>Flujos!G60</f>
        <v>1643</v>
      </c>
      <c r="J113" s="254"/>
      <c r="K113" s="254"/>
      <c r="L113" s="207"/>
      <c r="M113" s="254"/>
      <c r="N113" s="254"/>
      <c r="O113" s="254"/>
      <c r="P113" s="207"/>
    </row>
    <row r="114" spans="7:16" ht="14.4">
      <c r="G114" s="255" t="s">
        <v>232</v>
      </c>
      <c r="H114" s="255" t="s">
        <v>187</v>
      </c>
      <c r="I114" s="206">
        <f>Flujos!G61</f>
        <v>0</v>
      </c>
      <c r="J114" s="254"/>
      <c r="K114" s="254"/>
      <c r="L114" s="207"/>
      <c r="M114" s="254"/>
      <c r="N114" s="254"/>
      <c r="O114" s="254"/>
      <c r="P114" s="207"/>
    </row>
    <row r="115" spans="7:16" ht="14.4">
      <c r="G115" s="255" t="s">
        <v>233</v>
      </c>
      <c r="H115" s="255"/>
      <c r="I115" s="206">
        <f>Flujos!G62</f>
        <v>0</v>
      </c>
      <c r="J115" s="254"/>
      <c r="K115" s="254"/>
      <c r="L115" s="207"/>
      <c r="M115" s="254"/>
      <c r="N115" s="254"/>
      <c r="O115" s="254"/>
      <c r="P115" s="207"/>
    </row>
    <row r="116" spans="7:16" ht="14.4">
      <c r="G116" s="255" t="s">
        <v>234</v>
      </c>
      <c r="H116" s="255"/>
      <c r="I116" s="206">
        <f>Flujos!G66</f>
        <v>385</v>
      </c>
      <c r="J116" s="254"/>
      <c r="K116" s="254"/>
      <c r="L116" s="207"/>
      <c r="M116" s="254"/>
      <c r="N116" s="254"/>
      <c r="O116" s="254"/>
      <c r="P116" s="207"/>
    </row>
    <row r="117" spans="7:16" ht="14.4">
      <c r="G117" s="209" t="s">
        <v>235</v>
      </c>
      <c r="H117" s="210"/>
      <c r="I117" s="206">
        <f>Flujos!G67</f>
        <v>358</v>
      </c>
      <c r="J117" s="211"/>
      <c r="K117" s="211"/>
      <c r="L117" s="207"/>
      <c r="M117" s="208"/>
      <c r="N117" s="208"/>
      <c r="O117" s="208"/>
      <c r="P117" s="207"/>
    </row>
    <row r="118" spans="7:16" ht="14.4">
      <c r="G118" s="209" t="s">
        <v>236</v>
      </c>
      <c r="H118" s="210"/>
      <c r="I118" s="206">
        <f>Flujos!G70</f>
        <v>0</v>
      </c>
      <c r="J118" s="211"/>
      <c r="K118" s="211"/>
      <c r="L118" s="207"/>
      <c r="M118" s="208"/>
      <c r="N118" s="208"/>
      <c r="O118" s="208"/>
      <c r="P118" s="207"/>
    </row>
    <row r="119" spans="7:16" ht="14.4">
      <c r="G119" s="209" t="s">
        <v>237</v>
      </c>
      <c r="H119" s="210"/>
      <c r="I119" s="206">
        <f>Flujos!G72</f>
        <v>0</v>
      </c>
      <c r="J119" s="254"/>
      <c r="K119" s="254"/>
      <c r="L119" s="207"/>
      <c r="M119" s="254"/>
      <c r="N119" s="254"/>
      <c r="O119" s="254"/>
      <c r="P119" s="207"/>
    </row>
    <row r="120" spans="7:16" ht="27.75" customHeight="1"/>
    <row r="121" spans="7:16" ht="27.75" customHeight="1">
      <c r="G121" s="257" t="s">
        <v>238</v>
      </c>
      <c r="H121" s="257"/>
      <c r="I121" s="212">
        <f>+SUM(I97:I119)</f>
        <v>128063</v>
      </c>
      <c r="J121" s="258" t="s">
        <v>239</v>
      </c>
      <c r="K121" s="258"/>
      <c r="L121" s="213">
        <f>+SUM(L97:L110)</f>
        <v>52340</v>
      </c>
      <c r="M121" s="258" t="s">
        <v>240</v>
      </c>
      <c r="N121" s="258"/>
      <c r="O121" s="258"/>
      <c r="P121" s="212">
        <f>+SUM(P97:P110)</f>
        <v>86038.999999699998</v>
      </c>
    </row>
    <row r="122" spans="7:16" ht="27.75" customHeight="1"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</row>
    <row r="123" spans="7:16" ht="27.75" customHeight="1">
      <c r="G123" s="214"/>
      <c r="J123" s="214"/>
      <c r="K123" s="214"/>
      <c r="L123" s="215" t="s">
        <v>241</v>
      </c>
      <c r="M123" s="216"/>
      <c r="N123" s="217"/>
      <c r="O123" s="216"/>
      <c r="P123" s="218">
        <f>+I121-L121-P121</f>
        <v>-10315.999999699998</v>
      </c>
    </row>
    <row r="124" spans="7:16" ht="27.75" customHeight="1"/>
    <row r="125" spans="7:16" ht="27.75" customHeight="1"/>
    <row r="126" spans="7:16" ht="27.75" customHeight="1">
      <c r="G126" s="205" t="s">
        <v>242</v>
      </c>
    </row>
    <row r="127" spans="7:16" ht="27.75" customHeight="1">
      <c r="G127" s="259" t="s">
        <v>28</v>
      </c>
      <c r="H127" s="259"/>
      <c r="I127" s="259"/>
      <c r="J127" s="260" t="s">
        <v>198</v>
      </c>
      <c r="K127" s="260"/>
      <c r="L127" s="260"/>
      <c r="M127" s="261" t="s">
        <v>29</v>
      </c>
      <c r="N127" s="261"/>
      <c r="O127" s="261"/>
      <c r="P127" s="261"/>
    </row>
    <row r="128" spans="7:16" ht="27.75" customHeight="1">
      <c r="G128" s="252" t="s">
        <v>199</v>
      </c>
      <c r="H128" s="252"/>
      <c r="I128" s="206">
        <f>+E8</f>
        <v>22713.919862620201</v>
      </c>
      <c r="J128" s="253" t="s">
        <v>32</v>
      </c>
      <c r="K128" s="253"/>
      <c r="L128" s="207">
        <f>Flujos!G9*Flujos!H9</f>
        <v>-901.60554772969999</v>
      </c>
      <c r="M128" s="254" t="s">
        <v>200</v>
      </c>
      <c r="N128" s="254"/>
      <c r="O128" s="254"/>
      <c r="P128" s="207">
        <f>+G17</f>
        <v>3899.8353357050005</v>
      </c>
    </row>
    <row r="129" spans="7:16" ht="27.75" customHeight="1">
      <c r="G129" s="219" t="s">
        <v>201</v>
      </c>
      <c r="H129" s="220"/>
      <c r="I129" s="206">
        <f>+C14</f>
        <v>0</v>
      </c>
      <c r="J129" s="208" t="s">
        <v>36</v>
      </c>
      <c r="K129" s="208"/>
      <c r="L129" s="207">
        <f>Flujos!G17*Flujos!H17</f>
        <v>-3126.8476190852402</v>
      </c>
      <c r="M129" s="208" t="s">
        <v>181</v>
      </c>
      <c r="N129" s="208"/>
      <c r="O129" s="208"/>
      <c r="P129" s="207">
        <f>+Q9</f>
        <v>2364.2031603728688</v>
      </c>
    </row>
    <row r="130" spans="7:16" ht="27.75" customHeight="1">
      <c r="G130" s="219" t="s">
        <v>202</v>
      </c>
      <c r="H130" s="221"/>
      <c r="I130" s="206">
        <f>+H15</f>
        <v>0</v>
      </c>
      <c r="J130" s="208" t="s">
        <v>203</v>
      </c>
      <c r="K130" s="208"/>
      <c r="L130" s="207">
        <v>0</v>
      </c>
      <c r="M130" s="208" t="s">
        <v>97</v>
      </c>
      <c r="N130" s="208"/>
      <c r="O130" s="208"/>
      <c r="P130" s="207">
        <f>+Q13</f>
        <v>735.9654763377423</v>
      </c>
    </row>
    <row r="131" spans="7:16" ht="27.75" customHeight="1">
      <c r="G131" s="209" t="s">
        <v>204</v>
      </c>
      <c r="H131" s="210"/>
      <c r="I131" s="206">
        <f>+C28</f>
        <v>0</v>
      </c>
      <c r="J131" s="208" t="s">
        <v>205</v>
      </c>
      <c r="K131" s="208"/>
      <c r="L131" s="207">
        <f>Flujos!G21*Flujos!H21</f>
        <v>-6637.2460448584507</v>
      </c>
      <c r="M131" s="208" t="s">
        <v>206</v>
      </c>
      <c r="N131" s="208"/>
      <c r="O131" s="208"/>
      <c r="P131" s="207">
        <f>+I32</f>
        <v>4506.77115671519</v>
      </c>
    </row>
    <row r="132" spans="7:16" ht="27.75" customHeight="1">
      <c r="G132" s="209" t="s">
        <v>132</v>
      </c>
      <c r="H132" s="210"/>
      <c r="I132" s="206">
        <f>+C37</f>
        <v>0</v>
      </c>
      <c r="J132" s="208" t="s">
        <v>207</v>
      </c>
      <c r="K132" s="208"/>
      <c r="L132" s="207">
        <f>Flujos!G31*Flujos!H31</f>
        <v>0</v>
      </c>
      <c r="M132" s="208" t="s">
        <v>208</v>
      </c>
      <c r="N132" s="208"/>
      <c r="O132" s="208"/>
      <c r="P132" s="207">
        <f>+M60</f>
        <v>878.9410909549199</v>
      </c>
    </row>
    <row r="133" spans="7:16" ht="27.75" customHeight="1">
      <c r="G133" s="209" t="s">
        <v>135</v>
      </c>
      <c r="H133" s="210"/>
      <c r="I133" s="206">
        <f>+C46</f>
        <v>0</v>
      </c>
      <c r="J133" s="208" t="s">
        <v>209</v>
      </c>
      <c r="K133" s="208"/>
      <c r="L133" s="207">
        <f>Flujos!G44*Flujos!H44</f>
        <v>0</v>
      </c>
      <c r="M133" s="208" t="s">
        <v>152</v>
      </c>
      <c r="N133" s="208"/>
      <c r="O133" s="208"/>
      <c r="P133" s="207">
        <f>+O65</f>
        <v>0</v>
      </c>
    </row>
    <row r="134" spans="7:16" ht="22.5" customHeight="1">
      <c r="G134" s="209" t="s">
        <v>210</v>
      </c>
      <c r="H134" s="210"/>
      <c r="I134" s="206">
        <f>+C56</f>
        <v>0</v>
      </c>
      <c r="J134" s="208" t="s">
        <v>211</v>
      </c>
      <c r="K134" s="208"/>
      <c r="L134" s="207">
        <f>Flujos!G47*Flujos!H47</f>
        <v>0</v>
      </c>
      <c r="M134" s="208" t="s">
        <v>212</v>
      </c>
      <c r="N134" s="208"/>
      <c r="O134" s="208"/>
      <c r="P134" s="207">
        <f>+O69</f>
        <v>0</v>
      </c>
    </row>
    <row r="135" spans="7:16" ht="14.4">
      <c r="G135" s="209" t="s">
        <v>213</v>
      </c>
      <c r="H135" s="210"/>
      <c r="I135" s="206">
        <f>C64</f>
        <v>17813.218499999999</v>
      </c>
      <c r="J135" s="208" t="s">
        <v>214</v>
      </c>
      <c r="K135" s="208"/>
      <c r="L135" s="207">
        <f>Flujos!G50*Flujos!H50</f>
        <v>0</v>
      </c>
      <c r="M135" s="208" t="s">
        <v>215</v>
      </c>
      <c r="N135" s="208"/>
      <c r="O135" s="208"/>
      <c r="P135" s="207">
        <f>+O76</f>
        <v>0</v>
      </c>
    </row>
    <row r="136" spans="7:16" ht="14.4">
      <c r="G136" s="209" t="s">
        <v>216</v>
      </c>
      <c r="H136" s="210"/>
      <c r="I136" s="206">
        <f>+H72</f>
        <v>0</v>
      </c>
      <c r="J136" s="208" t="s">
        <v>217</v>
      </c>
      <c r="K136" s="208"/>
      <c r="L136" s="207">
        <f>Flujos!G53*Flujos!H53</f>
        <v>0</v>
      </c>
      <c r="M136" s="208" t="s">
        <v>154</v>
      </c>
      <c r="N136" s="208"/>
      <c r="O136" s="208"/>
      <c r="P136" s="207">
        <f>+O86</f>
        <v>0</v>
      </c>
    </row>
    <row r="137" spans="7:16" ht="14.4">
      <c r="G137" s="209" t="s">
        <v>218</v>
      </c>
      <c r="H137" s="210"/>
      <c r="I137" s="206">
        <f>+H77</f>
        <v>0</v>
      </c>
      <c r="J137" s="208" t="s">
        <v>219</v>
      </c>
      <c r="K137" s="208"/>
      <c r="L137" s="207">
        <f>Flujos!G42*Flujos!H42</f>
        <v>0</v>
      </c>
      <c r="M137" s="208" t="s">
        <v>184</v>
      </c>
      <c r="N137" s="208"/>
      <c r="O137" s="208"/>
      <c r="P137" s="207">
        <f>Q81</f>
        <v>36.8904</v>
      </c>
    </row>
    <row r="138" spans="7:16" ht="14.4">
      <c r="G138" s="209" t="s">
        <v>220</v>
      </c>
      <c r="H138" s="210"/>
      <c r="I138" s="206">
        <f>+L76</f>
        <v>0</v>
      </c>
      <c r="J138" s="208" t="s">
        <v>221</v>
      </c>
      <c r="K138" s="208"/>
      <c r="L138" s="207">
        <f>Flujos!G26*Flujos!H26</f>
        <v>43043.496954114802</v>
      </c>
      <c r="M138" s="254" t="s">
        <v>222</v>
      </c>
      <c r="N138" s="254"/>
      <c r="O138" s="254"/>
      <c r="P138" s="207">
        <f>Flujos!G68*Flujos!H68</f>
        <v>0</v>
      </c>
    </row>
    <row r="139" spans="7:16" ht="14.4">
      <c r="G139" s="209" t="s">
        <v>223</v>
      </c>
      <c r="H139" s="210"/>
      <c r="I139" s="206">
        <f>+L80</f>
        <v>0</v>
      </c>
      <c r="J139" s="208" t="s">
        <v>224</v>
      </c>
      <c r="K139" s="208"/>
      <c r="L139" s="207">
        <f>Flujos!G34*Flujos!H34</f>
        <v>2853.0304999975201</v>
      </c>
      <c r="M139" s="256"/>
      <c r="N139" s="256"/>
      <c r="O139" s="256"/>
      <c r="P139" s="207"/>
    </row>
    <row r="140" spans="7:16" ht="14.4">
      <c r="G140" s="209" t="s">
        <v>225</v>
      </c>
      <c r="H140" s="210"/>
      <c r="I140" s="206">
        <f>+K88</f>
        <v>0</v>
      </c>
      <c r="J140" s="208" t="s">
        <v>226</v>
      </c>
      <c r="K140" s="208"/>
      <c r="L140" s="207">
        <f>Flujos!G39*Flujos!H39</f>
        <v>0</v>
      </c>
      <c r="M140" s="222"/>
      <c r="N140" s="223"/>
      <c r="O140" s="224"/>
      <c r="P140" s="207"/>
    </row>
    <row r="141" spans="7:16" ht="14.4">
      <c r="G141" s="209" t="s">
        <v>227</v>
      </c>
      <c r="H141" s="210"/>
      <c r="I141" s="206">
        <f>+L92</f>
        <v>0</v>
      </c>
      <c r="J141" s="254" t="s">
        <v>228</v>
      </c>
      <c r="K141" s="254"/>
      <c r="L141" s="207">
        <f>Flujos!G69*Flujos!H69</f>
        <v>706.3596</v>
      </c>
      <c r="M141" s="208"/>
      <c r="N141" s="208"/>
      <c r="O141" s="208"/>
      <c r="P141" s="207"/>
    </row>
    <row r="142" spans="7:16" ht="14.4">
      <c r="G142" s="255" t="s">
        <v>229</v>
      </c>
      <c r="H142" s="255"/>
      <c r="I142" s="206">
        <f>K84</f>
        <v>1378.8054</v>
      </c>
      <c r="M142" s="208"/>
      <c r="N142" s="208"/>
      <c r="O142" s="208"/>
      <c r="P142" s="207"/>
    </row>
    <row r="143" spans="7:16" ht="14.4">
      <c r="G143" s="255" t="s">
        <v>243</v>
      </c>
      <c r="H143" s="255"/>
      <c r="I143" s="206">
        <f>Flujos!G59*Flujos!H59</f>
        <v>0</v>
      </c>
      <c r="J143" s="254"/>
      <c r="K143" s="254"/>
      <c r="L143" s="207"/>
      <c r="M143" s="225"/>
      <c r="N143" s="225"/>
      <c r="O143" s="225"/>
      <c r="P143" s="207"/>
    </row>
    <row r="144" spans="7:16" ht="14.4">
      <c r="G144" s="255" t="s">
        <v>244</v>
      </c>
      <c r="H144" s="255"/>
      <c r="I144" s="206">
        <f>Flujos!G60*Flujos!H60</f>
        <v>1012.088</v>
      </c>
      <c r="J144" s="254"/>
      <c r="K144" s="254"/>
      <c r="L144" s="207"/>
      <c r="M144" s="225"/>
      <c r="N144" s="225"/>
      <c r="O144" s="225"/>
      <c r="P144" s="207"/>
    </row>
    <row r="145" spans="7:16" ht="14.4">
      <c r="G145" s="255" t="s">
        <v>245</v>
      </c>
      <c r="H145" s="255"/>
      <c r="I145" s="206">
        <f>Flujos!G61*Flujos!H61</f>
        <v>0</v>
      </c>
      <c r="J145" s="254"/>
      <c r="K145" s="254"/>
      <c r="L145" s="207"/>
      <c r="M145" s="225"/>
      <c r="N145" s="225"/>
      <c r="O145" s="225"/>
      <c r="P145" s="207"/>
    </row>
    <row r="146" spans="7:16" ht="14.4">
      <c r="G146" s="255" t="s">
        <v>233</v>
      </c>
      <c r="H146" s="255"/>
      <c r="I146" s="206">
        <f>Flujos!G62*Flujos!H62</f>
        <v>0</v>
      </c>
      <c r="J146" s="254"/>
      <c r="K146" s="254"/>
      <c r="L146" s="207"/>
      <c r="M146" s="225"/>
      <c r="N146" s="225"/>
      <c r="O146" s="225"/>
      <c r="P146" s="207"/>
    </row>
    <row r="147" spans="7:16" ht="14.4">
      <c r="G147" s="255" t="s">
        <v>234</v>
      </c>
      <c r="H147" s="255"/>
      <c r="I147" s="206">
        <f>Flujos!G66*Flujos!H66</f>
        <v>241.8955</v>
      </c>
      <c r="J147" s="208"/>
      <c r="K147" s="208"/>
      <c r="L147" s="207"/>
      <c r="M147" s="208"/>
      <c r="N147" s="208"/>
      <c r="O147" s="208"/>
      <c r="P147" s="207"/>
    </row>
    <row r="148" spans="7:16" ht="14.4">
      <c r="G148" s="209" t="s">
        <v>235</v>
      </c>
      <c r="H148" s="210"/>
      <c r="I148" s="206">
        <f>Flujos!G67*Flujos!H67</f>
        <v>220.24160000000003</v>
      </c>
      <c r="J148" s="208"/>
      <c r="K148" s="208"/>
      <c r="L148" s="207"/>
      <c r="M148" s="208"/>
      <c r="N148" s="208"/>
      <c r="O148" s="208"/>
      <c r="P148" s="207"/>
    </row>
    <row r="149" spans="7:16" ht="14.4">
      <c r="G149" s="209" t="s">
        <v>236</v>
      </c>
      <c r="H149" s="210"/>
      <c r="I149" s="206">
        <f>Flujos!G70*Flujos!H70</f>
        <v>0</v>
      </c>
      <c r="J149" s="254"/>
      <c r="K149" s="254"/>
      <c r="L149" s="207"/>
      <c r="M149" s="254"/>
      <c r="N149" s="254"/>
      <c r="O149" s="254"/>
      <c r="P149" s="207"/>
    </row>
    <row r="150" spans="7:16" ht="14.4">
      <c r="G150" s="209" t="s">
        <v>236</v>
      </c>
      <c r="H150" s="210"/>
      <c r="I150" s="206">
        <f>Flujos!G72*Flujos!H72</f>
        <v>0</v>
      </c>
      <c r="J150" s="254"/>
      <c r="K150" s="254"/>
      <c r="L150" s="207"/>
      <c r="M150" s="254"/>
      <c r="N150" s="254"/>
      <c r="O150" s="254"/>
      <c r="P150" s="207"/>
    </row>
    <row r="151" spans="7:16" ht="18">
      <c r="G151" s="257" t="s">
        <v>238</v>
      </c>
      <c r="H151" s="257"/>
      <c r="I151" s="212">
        <f>+SUM(I128:I150)</f>
        <v>43380.168862620201</v>
      </c>
      <c r="J151" s="258" t="s">
        <v>239</v>
      </c>
      <c r="K151" s="258"/>
      <c r="L151" s="213">
        <f>+SUM(L128:L141)</f>
        <v>35937.187842438936</v>
      </c>
      <c r="M151" s="258" t="s">
        <v>240</v>
      </c>
      <c r="N151" s="258"/>
      <c r="O151" s="258"/>
      <c r="P151" s="212">
        <f>+SUM(P128:P141)</f>
        <v>12422.606620085722</v>
      </c>
    </row>
    <row r="152" spans="7:16" ht="14.4"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</row>
    <row r="153" spans="7:16" ht="18">
      <c r="G153" s="214"/>
      <c r="J153" s="214"/>
      <c r="K153" s="214"/>
      <c r="L153" s="215" t="s">
        <v>241</v>
      </c>
      <c r="M153" s="216"/>
      <c r="N153" s="217"/>
      <c r="O153" s="216"/>
      <c r="P153" s="218">
        <f>+I151-L151-P151</f>
        <v>-4979.625599904457</v>
      </c>
    </row>
  </sheetData>
  <mergeCells count="86">
    <mergeCell ref="J149:K149"/>
    <mergeCell ref="M149:O149"/>
    <mergeCell ref="J150:K150"/>
    <mergeCell ref="M150:O150"/>
    <mergeCell ref="G151:H151"/>
    <mergeCell ref="J151:K151"/>
    <mergeCell ref="M151:O151"/>
    <mergeCell ref="G145:H145"/>
    <mergeCell ref="J145:K145"/>
    <mergeCell ref="G146:H146"/>
    <mergeCell ref="J146:K146"/>
    <mergeCell ref="G147:H147"/>
    <mergeCell ref="J141:K141"/>
    <mergeCell ref="G142:H142"/>
    <mergeCell ref="G143:H143"/>
    <mergeCell ref="J143:K143"/>
    <mergeCell ref="G144:H144"/>
    <mergeCell ref="J144:K144"/>
    <mergeCell ref="G128:H128"/>
    <mergeCell ref="J128:K128"/>
    <mergeCell ref="M128:O128"/>
    <mergeCell ref="M138:O138"/>
    <mergeCell ref="M139:O139"/>
    <mergeCell ref="G121:H121"/>
    <mergeCell ref="J121:K121"/>
    <mergeCell ref="M121:O121"/>
    <mergeCell ref="G127:I127"/>
    <mergeCell ref="J127:L127"/>
    <mergeCell ref="M127:P127"/>
    <mergeCell ref="G116:H116"/>
    <mergeCell ref="J116:K116"/>
    <mergeCell ref="M116:O116"/>
    <mergeCell ref="J119:K119"/>
    <mergeCell ref="M119:O119"/>
    <mergeCell ref="G114:H114"/>
    <mergeCell ref="J114:K114"/>
    <mergeCell ref="M114:O114"/>
    <mergeCell ref="G115:H115"/>
    <mergeCell ref="J115:K115"/>
    <mergeCell ref="M115:O115"/>
    <mergeCell ref="G112:H112"/>
    <mergeCell ref="J112:K112"/>
    <mergeCell ref="M112:O112"/>
    <mergeCell ref="G113:H113"/>
    <mergeCell ref="J113:K113"/>
    <mergeCell ref="M113:O113"/>
    <mergeCell ref="G110:H110"/>
    <mergeCell ref="J110:K110"/>
    <mergeCell ref="M110:O110"/>
    <mergeCell ref="G111:H111"/>
    <mergeCell ref="J111:K111"/>
    <mergeCell ref="M111:O111"/>
    <mergeCell ref="M107:O107"/>
    <mergeCell ref="J108:K108"/>
    <mergeCell ref="M108:O108"/>
    <mergeCell ref="J109:K109"/>
    <mergeCell ref="M109:O109"/>
    <mergeCell ref="G105:H105"/>
    <mergeCell ref="M105:O105"/>
    <mergeCell ref="G106:H106"/>
    <mergeCell ref="J106:K106"/>
    <mergeCell ref="M106:O106"/>
    <mergeCell ref="G102:H102"/>
    <mergeCell ref="M102:O102"/>
    <mergeCell ref="G103:H103"/>
    <mergeCell ref="M103:O103"/>
    <mergeCell ref="G104:H104"/>
    <mergeCell ref="M104:O104"/>
    <mergeCell ref="G100:H100"/>
    <mergeCell ref="J100:K100"/>
    <mergeCell ref="M100:O100"/>
    <mergeCell ref="G101:H101"/>
    <mergeCell ref="J101:K101"/>
    <mergeCell ref="M101:O101"/>
    <mergeCell ref="G98:H98"/>
    <mergeCell ref="J98:K98"/>
    <mergeCell ref="M98:O98"/>
    <mergeCell ref="G99:H99"/>
    <mergeCell ref="J99:K99"/>
    <mergeCell ref="M99:O99"/>
    <mergeCell ref="G96:I96"/>
    <mergeCell ref="J96:L96"/>
    <mergeCell ref="M96:P96"/>
    <mergeCell ref="G97:H97"/>
    <mergeCell ref="J97:K97"/>
    <mergeCell ref="M97:O97"/>
  </mergeCells>
  <pageMargins left="0.7" right="0.7" top="0.75" bottom="0.75" header="0.511811023622047" footer="0.511811023622047"/>
  <pageSetup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2DA042FA-73F5-4E56-A917-4B247F99D6D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E16</xm:sqref>
        </x14:conditionalFormatting>
        <x14:conditionalFormatting xmlns:xm="http://schemas.microsoft.com/office/excel/2006/main">
          <x14:cfRule type="iconSet" priority="3" id="{7B3F9B98-1FD6-43D2-8843-61B8B06E573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F29</xm:sqref>
        </x14:conditionalFormatting>
        <x14:conditionalFormatting xmlns:xm="http://schemas.microsoft.com/office/excel/2006/main">
          <x14:cfRule type="iconSet" priority="4" id="{D1CA12EE-1411-4E31-B4CA-412E9F237A5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F38</xm:sqref>
        </x14:conditionalFormatting>
        <x14:conditionalFormatting xmlns:xm="http://schemas.microsoft.com/office/excel/2006/main">
          <x14:cfRule type="iconSet" priority="5" id="{1E5792FF-BDE0-43F9-96C3-1D63C0FB804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F48</xm:sqref>
        </x14:conditionalFormatting>
        <x14:conditionalFormatting xmlns:xm="http://schemas.microsoft.com/office/excel/2006/main">
          <x14:cfRule type="iconSet" priority="6" id="{74F860F5-4087-4BA6-8F10-98AC69F0D01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J14</xm:sqref>
        </x14:conditionalFormatting>
        <x14:conditionalFormatting xmlns:xm="http://schemas.microsoft.com/office/excel/2006/main">
          <x14:cfRule type="iconSet" priority="7" id="{8C5AA2C2-A7ED-4F2C-B88A-D2EE28B08BF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J75</xm:sqref>
        </x14:conditionalFormatting>
        <x14:conditionalFormatting xmlns:xm="http://schemas.microsoft.com/office/excel/2006/main">
          <x14:cfRule type="iconSet" priority="8" id="{413F16D0-4A4C-4044-9CA1-DD7DDA9DB85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K39</xm:sqref>
        </x14:conditionalFormatting>
        <x14:conditionalFormatting xmlns:xm="http://schemas.microsoft.com/office/excel/2006/main">
          <x14:cfRule type="iconSet" priority="9" id="{6E4A28A8-3CA0-49D1-B5A0-3870CCC736C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L34</xm:sqref>
        </x14:conditionalFormatting>
        <x14:conditionalFormatting xmlns:xm="http://schemas.microsoft.com/office/excel/2006/main">
          <x14:cfRule type="iconSet" priority="15" id="{C9BDEE41-2250-47BA-9A44-30955FCA695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L122</xm:sqref>
        </x14:conditionalFormatting>
        <x14:conditionalFormatting xmlns:xm="http://schemas.microsoft.com/office/excel/2006/main">
          <x14:cfRule type="iconSet" priority="10" id="{B8C71D80-9A49-4AB7-A8C2-7CA7FF40805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L151</xm:sqref>
        </x14:conditionalFormatting>
        <x14:conditionalFormatting xmlns:xm="http://schemas.microsoft.com/office/excel/2006/main">
          <x14:cfRule type="iconSet" priority="11" id="{72199E5A-1FEB-48E4-9569-B52D8CAF617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N20</xm:sqref>
        </x14:conditionalFormatting>
        <x14:conditionalFormatting xmlns:xm="http://schemas.microsoft.com/office/excel/2006/main">
          <x14:cfRule type="iconSet" priority="12" id="{68A7E735-ACE5-4E6E-8740-2F688E555BD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N67</xm:sqref>
        </x14:conditionalFormatting>
        <x14:conditionalFormatting xmlns:xm="http://schemas.microsoft.com/office/excel/2006/main">
          <x14:cfRule type="iconSet" priority="13" id="{E9F01586-1FAF-482A-AC83-B754DCCA9FE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N75</xm:sqref>
        </x14:conditionalFormatting>
        <x14:conditionalFormatting xmlns:xm="http://schemas.microsoft.com/office/excel/2006/main">
          <x14:cfRule type="iconSet" priority="14" id="{D0B8F020-83FB-47AA-B4CA-A9559054F85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N88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3C61A07C57BBA49B6F1BD12604D1B98" ma:contentTypeVersion="15" ma:contentTypeDescription="Crear nuevo documento." ma:contentTypeScope="" ma:versionID="2b20aa3e415c950d2cc1dd8dcfd40cd4">
  <xsd:schema xmlns:xsd="http://www.w3.org/2001/XMLSchema" xmlns:xs="http://www.w3.org/2001/XMLSchema" xmlns:p="http://schemas.microsoft.com/office/2006/metadata/properties" xmlns:ns2="b2f8a649-b54f-4193-9193-fdef8b17673b" xmlns:ns3="1d3fe0f3-c15e-4741-8d78-7ef7358ace79" targetNamespace="http://schemas.microsoft.com/office/2006/metadata/properties" ma:root="true" ma:fieldsID="69f5dd707cd47fe2678e0ebf8b778f2d" ns2:_="" ns3:_="">
    <xsd:import namespace="b2f8a649-b54f-4193-9193-fdef8b17673b"/>
    <xsd:import namespace="1d3fe0f3-c15e-4741-8d78-7ef7358ac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8a649-b54f-4193-9193-fdef8b1767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05499b6-a013-4fe1-a621-b968203179ce}" ma:internalName="TaxCatchAll" ma:showField="CatchAllData" ma:web="b2f8a649-b54f-4193-9193-fdef8b176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fe0f3-c15e-4741-8d78-7ef7358ace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73516ef-4520-404e-ac3f-ac1cf3bdf1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E4A345-3186-4A84-81E6-903C7AA319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f8a649-b54f-4193-9193-fdef8b17673b"/>
    <ds:schemaRef ds:uri="1d3fe0f3-c15e-4741-8d78-7ef7358ac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Up</vt:lpstr>
      <vt:lpstr>Report</vt:lpstr>
      <vt:lpstr>Utilidad</vt:lpstr>
      <vt:lpstr>Datos Extra</vt:lpstr>
      <vt:lpstr>Flujos</vt:lpstr>
      <vt:lpstr>Mapa de Procesos</vt:lpstr>
      <vt:lpstr>Up!Área_de_impresión</vt:lpstr>
      <vt:lpstr>vector1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Arru</dc:creator>
  <dc:description/>
  <cp:lastModifiedBy>Felipe Ignacio Vilaboa Navarrete</cp:lastModifiedBy>
  <cp:revision>20</cp:revision>
  <cp:lastPrinted>2026-09-17T14:47:18Z</cp:lastPrinted>
  <dcterms:created xsi:type="dcterms:W3CDTF">2021-08-15T22:35:05Z</dcterms:created>
  <dcterms:modified xsi:type="dcterms:W3CDTF">2026-09-17T14:47:31Z</dcterms:modified>
  <dc:language>es-CL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0x01010013C61A07C57BBA49B6F1BD12604D1B98</vt:lpwstr>
  </property>
  <property fmtid="{D5CDD505-2E9C-101B-9397-08002B2CF9AE}" pid="3" name="MediaServiceImageTags">
    <vt:lpwstr/>
  </property>
</Properties>
</file>