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"/>
    </mc:Choice>
  </mc:AlternateContent>
  <xr:revisionPtr revIDLastSave="0" documentId="13_ncr:1_{2F1379DC-36AC-C542-9444-2547C63F871A}" xr6:coauthVersionLast="45" xr6:coauthVersionMax="45" xr10:uidLastSave="{00000000-0000-0000-0000-000000000000}"/>
  <bookViews>
    <workbookView xWindow="23220" yWindow="1800" windowWidth="27980" windowHeight="18000" tabRatio="749" activeTab="4" xr2:uid="{00000000-000D-0000-FFFF-FFFF00000000}"/>
  </bookViews>
  <sheets>
    <sheet name="Nodos Variac Inventarios" sheetId="3" state="hidden" r:id="rId1"/>
    <sheet name="Bal Los Colorados" sheetId="5" state="hidden" r:id="rId2"/>
    <sheet name="Diag Proc Los Colorados" sheetId="15" state="hidden" r:id="rId3"/>
    <sheet name="Resumen Planta Pellets (2)" sheetId="18" r:id="rId4"/>
    <sheet name="Datos Extra" sheetId="19" r:id="rId5"/>
    <sheet name="Resumen Planta Pellets" sheetId="17" r:id="rId6"/>
    <sheet name="Utilidad" sheetId="1" r:id="rId7"/>
    <sheet name="Flujos" sheetId="16" r:id="rId8"/>
    <sheet name="Diagrama" sheetId="13" r:id="rId9"/>
  </sheets>
  <externalReferences>
    <externalReference r:id="rId10"/>
    <externalReference r:id="rId11"/>
    <externalReference r:id="rId12"/>
    <externalReference r:id="rId13"/>
  </externalReferences>
  <definedNames>
    <definedName name="_PAG1" localSheetId="5">#REF!</definedName>
    <definedName name="_PAG1" localSheetId="3">#REF!</definedName>
    <definedName name="_PAG1">#REF!</definedName>
    <definedName name="_PAG3" localSheetId="5">#REF!</definedName>
    <definedName name="_PAG3" localSheetId="3">#REF!</definedName>
    <definedName name="_PAG3">#REF!</definedName>
    <definedName name="_PAG4" localSheetId="3">#REF!</definedName>
    <definedName name="_PAG4">#REF!</definedName>
    <definedName name="_PAG5">#REF!</definedName>
    <definedName name="_PAG6">#REF!</definedName>
    <definedName name="\P" localSheetId="5">#REF!</definedName>
    <definedName name="\P" localSheetId="3">#REF!</definedName>
    <definedName name="\P">#REF!</definedName>
    <definedName name="\W" localSheetId="5">#REF!</definedName>
    <definedName name="\W" localSheetId="3">#REF!</definedName>
    <definedName name="\W">#REF!</definedName>
    <definedName name="\Z" localSheetId="5">#REF!</definedName>
    <definedName name="\Z" localSheetId="3">#REF!</definedName>
    <definedName name="\Z">#REF!</definedName>
    <definedName name="CONC" localSheetId="5">#REF!</definedName>
    <definedName name="CONC" localSheetId="3">#REF!</definedName>
    <definedName name="CONC">#REF!</definedName>
    <definedName name="CuNuevo_ConPelaCama_tmf" localSheetId="5">[1]FUNDICIÓN!$P$73</definedName>
    <definedName name="CuNuevo_ConPelaCama_tmf" localSheetId="3">[1]FUNDICIÓN!$P$73</definedName>
    <definedName name="CuNuevo_ConPelaCama_tmf">[1]FUNDICIÓN!$P$73</definedName>
    <definedName name="CuNuevo_ConPelaCama_tms" localSheetId="5">[1]FUNDICIÓN!$O$73</definedName>
    <definedName name="CuNuevo_ConPelaCama_tms" localSheetId="3">[1]FUNDICIÓN!$O$73</definedName>
    <definedName name="CuNuevo_ConPelaCama_tms">[1]FUNDICIÓN!$O$73</definedName>
    <definedName name="ECL_DelBal_por" localSheetId="5">'Resumen Planta Pellets'!$G$37</definedName>
    <definedName name="ECL_DelBal_por" localSheetId="3">'Resumen Planta Pellets (2)'!$G$37</definedName>
    <definedName name="ECL_DelBal_tmf" localSheetId="5">'Resumen Planta Pellets'!$F$37</definedName>
    <definedName name="ECL_DelBal_tmf" localSheetId="3">'Resumen Planta Pellets (2)'!$F$37</definedName>
    <definedName name="FEED" localSheetId="5">#REF!</definedName>
    <definedName name="FEED" localSheetId="3">#REF!</definedName>
    <definedName name="FEED">#REF!</definedName>
    <definedName name="feed1">#REF!</definedName>
    <definedName name="GCONC" localSheetId="5">#REF!</definedName>
    <definedName name="GCONC" localSheetId="3">#REF!</definedName>
    <definedName name="GCONC">#REF!</definedName>
    <definedName name="GFEED" localSheetId="5">#REF!</definedName>
    <definedName name="GFEED" localSheetId="3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_xlnm.Print_Area" localSheetId="5">'Resumen Planta Pellets'!$B$1:$P$39</definedName>
    <definedName name="_xlnm.Print_Area" localSheetId="3">'Resumen Planta Pellets (2)'!$B$1:$P$39</definedName>
    <definedName name="solver_adj" localSheetId="1" hidden="1">'Bal Los Colorados'!$M$46:$N$69</definedName>
    <definedName name="solver_adj" localSheetId="5" hidden="1">'Resumen Planta Pellets'!$N$10</definedName>
    <definedName name="solver_adj" localSheetId="3" hidden="1">'Resumen Planta Pellets (2)'!$N$10</definedName>
    <definedName name="solver_adj" localSheetId="6" hidden="1">Utilidad!$N$67:$O$126</definedName>
    <definedName name="solver_cvg" localSheetId="1" hidden="1">0.0001</definedName>
    <definedName name="solver_cvg" localSheetId="8" hidden="1">0.0001</definedName>
    <definedName name="solver_cvg" localSheetId="5" hidden="1">0.0001</definedName>
    <definedName name="solver_cvg" localSheetId="3" hidden="1">0.0001</definedName>
    <definedName name="solver_cvg" localSheetId="6" hidden="1">0.0001</definedName>
    <definedName name="solver_drv" localSheetId="1" hidden="1">1</definedName>
    <definedName name="solver_drv" localSheetId="8" hidden="1">2</definedName>
    <definedName name="solver_drv" localSheetId="5" hidden="1">1</definedName>
    <definedName name="solver_drv" localSheetId="3" hidden="1">1</definedName>
    <definedName name="solver_drv" localSheetId="6" hidden="1">1</definedName>
    <definedName name="solver_eng" localSheetId="1" hidden="1">1</definedName>
    <definedName name="solver_eng" localSheetId="8" hidden="1">1</definedName>
    <definedName name="solver_eng" localSheetId="5" hidden="1">1</definedName>
    <definedName name="solver_eng" localSheetId="3" hidden="1">1</definedName>
    <definedName name="solver_eng" localSheetId="6" hidden="1">1</definedName>
    <definedName name="solver_est" localSheetId="1" hidden="1">1</definedName>
    <definedName name="solver_est" localSheetId="8" hidden="1">1</definedName>
    <definedName name="solver_est" localSheetId="5" hidden="1">1</definedName>
    <definedName name="solver_est" localSheetId="3" hidden="1">1</definedName>
    <definedName name="solver_est" localSheetId="6" hidden="1">1</definedName>
    <definedName name="solver_itr" localSheetId="1" hidden="1">2147483647</definedName>
    <definedName name="solver_itr" localSheetId="8" hidden="1">2147483647</definedName>
    <definedName name="solver_itr" localSheetId="5" hidden="1">2147483647</definedName>
    <definedName name="solver_itr" localSheetId="3" hidden="1">2147483647</definedName>
    <definedName name="solver_itr" localSheetId="6" hidden="1">2147483647</definedName>
    <definedName name="solver_lhs1" localSheetId="1" hidden="1">'Bal Los Colorados'!$AB$45</definedName>
    <definedName name="solver_lhs1" localSheetId="6" hidden="1">Utilidad!$AB$67:$AB$90</definedName>
    <definedName name="solver_lhs10" localSheetId="1" hidden="1">'Bal Los Colorados'!$AB$54</definedName>
    <definedName name="solver_lhs10" localSheetId="6" hidden="1">Utilidad!$U$68</definedName>
    <definedName name="solver_lhs11" localSheetId="1" hidden="1">'Bal Los Colorados'!$AB$55</definedName>
    <definedName name="solver_lhs11" localSheetId="6" hidden="1">Utilidad!$U$69</definedName>
    <definedName name="solver_lhs12" localSheetId="1" hidden="1">'Bal Los Colorados'!$AC$45</definedName>
    <definedName name="solver_lhs12" localSheetId="6" hidden="1">Utilidad!$U$80</definedName>
    <definedName name="solver_lhs13" localSheetId="1" hidden="1">'Bal Los Colorados'!$AC$46</definedName>
    <definedName name="solver_lhs13" localSheetId="6" hidden="1">Utilidad!$U$89</definedName>
    <definedName name="solver_lhs14" localSheetId="1" hidden="1">'Bal Los Colorados'!$AC$47</definedName>
    <definedName name="solver_lhs14" localSheetId="6" hidden="1">Utilidad!$V$120</definedName>
    <definedName name="solver_lhs15" localSheetId="1" hidden="1">'Bal Los Colorados'!$AC$48</definedName>
    <definedName name="solver_lhs15" localSheetId="6" hidden="1">Utilidad!$W$105</definedName>
    <definedName name="solver_lhs16" localSheetId="1" hidden="1">'Bal Los Colorados'!$AC$49</definedName>
    <definedName name="solver_lhs16" localSheetId="6" hidden="1">Utilidad!$W$122</definedName>
    <definedName name="solver_lhs17" localSheetId="1" hidden="1">'Bal Los Colorados'!$AC$50</definedName>
    <definedName name="solver_lhs17" localSheetId="6" hidden="1">Utilidad!$W$124</definedName>
    <definedName name="solver_lhs18" localSheetId="1" hidden="1">'Bal Los Colorados'!$AC$51</definedName>
    <definedName name="solver_lhs18" localSheetId="6" hidden="1">Utilidad!$W$68</definedName>
    <definedName name="solver_lhs19" localSheetId="1" hidden="1">'Bal Los Colorados'!$AC$52</definedName>
    <definedName name="solver_lhs19" localSheetId="6" hidden="1">Utilidad!$W$89</definedName>
    <definedName name="solver_lhs2" localSheetId="1" hidden="1">'Bal Los Colorados'!$AB$46</definedName>
    <definedName name="solver_lhs2" localSheetId="6" hidden="1">Utilidad!$AC$67:$AC$90</definedName>
    <definedName name="solver_lhs20" localSheetId="1" hidden="1">'Bal Los Colorados'!$AC$53</definedName>
    <definedName name="solver_lhs20" localSheetId="6" hidden="1">Utilidad!$W$89</definedName>
    <definedName name="solver_lhs21" localSheetId="1" hidden="1">'Bal Los Colorados'!$AC$54</definedName>
    <definedName name="solver_lhs21" localSheetId="6" hidden="1">Utilidad!$W$101</definedName>
    <definedName name="solver_lhs22" localSheetId="1" hidden="1">'Bal Los Colorados'!$AC$55</definedName>
    <definedName name="solver_lhs22" localSheetId="6" hidden="1">Utilidad!$W$101</definedName>
    <definedName name="solver_lhs23" localSheetId="1" hidden="1">'Bal Los Colorados'!$T$48</definedName>
    <definedName name="solver_lhs23" localSheetId="6" hidden="1">Utilidad!$W$101</definedName>
    <definedName name="solver_lhs24" localSheetId="1" hidden="1">'Bal Los Colorados'!$T$53</definedName>
    <definedName name="solver_lhs24" localSheetId="6" hidden="1">Utilidad!$W$101</definedName>
    <definedName name="solver_lhs25" localSheetId="1" hidden="1">'Bal Los Colorados'!$T$55</definedName>
    <definedName name="solver_lhs25" localSheetId="6" hidden="1">Utilidad!$W$89</definedName>
    <definedName name="solver_lhs26" localSheetId="1" hidden="1">'Bal Los Colorados'!$T$57</definedName>
    <definedName name="solver_lhs26" localSheetId="6" hidden="1">Utilidad!$W$101</definedName>
    <definedName name="solver_lhs27" localSheetId="1" hidden="1">'Bal Los Colorados'!$T$58</definedName>
    <definedName name="solver_lhs27" localSheetId="6" hidden="1">Utilidad!$W$101</definedName>
    <definedName name="solver_lhs28" localSheetId="1" hidden="1">'Bal Los Colorados'!$T$59</definedName>
    <definedName name="solver_lhs28" localSheetId="6" hidden="1">Utilidad!#REF!</definedName>
    <definedName name="solver_lhs29" localSheetId="1" hidden="1">'Bal Los Colorados'!$T$68</definedName>
    <definedName name="solver_lhs29" localSheetId="6" hidden="1">Utilidad!#REF!</definedName>
    <definedName name="solver_lhs3" localSheetId="1" hidden="1">'Bal Los Colorados'!$AB$47</definedName>
    <definedName name="solver_lhs3" localSheetId="6" hidden="1">Utilidad!$U$101</definedName>
    <definedName name="solver_lhs30" localSheetId="1" hidden="1">'Bal Los Colorados'!$T$69</definedName>
    <definedName name="solver_lhs30" localSheetId="6" hidden="1">Utilidad!#REF!</definedName>
    <definedName name="solver_lhs31" localSheetId="1" hidden="1">'Bal Los Colorados'!$V$46</definedName>
    <definedName name="solver_lhs31" localSheetId="6" hidden="1">Utilidad!#REF!</definedName>
    <definedName name="solver_lhs32" localSheetId="1" hidden="1">'Bal Los Colorados'!$V$55</definedName>
    <definedName name="solver_lhs32" localSheetId="6" hidden="1">Utilidad!#REF!</definedName>
    <definedName name="solver_lhs33" localSheetId="1" hidden="1">'Bal Los Colorados'!$V$57</definedName>
    <definedName name="solver_lhs33" localSheetId="6" hidden="1">Utilidad!#REF!</definedName>
    <definedName name="solver_lhs34" localSheetId="1" hidden="1">'Bal Los Colorados'!$V$59</definedName>
    <definedName name="solver_lhs34" localSheetId="6" hidden="1">Utilidad!#REF!</definedName>
    <definedName name="solver_lhs35" localSheetId="1" hidden="1">'Bal Los Colorados'!$V$63</definedName>
    <definedName name="solver_lhs35" localSheetId="6" hidden="1">Utilidad!#REF!</definedName>
    <definedName name="solver_lhs36" localSheetId="1" hidden="1">'Bal Los Colorados'!$V$66</definedName>
    <definedName name="solver_lhs36" localSheetId="6" hidden="1">Utilidad!#REF!</definedName>
    <definedName name="solver_lhs37" localSheetId="1" hidden="1">'Bal Los Colorados'!$V$68</definedName>
    <definedName name="solver_lhs37" localSheetId="6" hidden="1">Utilidad!#REF!</definedName>
    <definedName name="solver_lhs38" localSheetId="1" hidden="1">'Bal Los Colorados'!$V$69</definedName>
    <definedName name="solver_lhs38" localSheetId="6" hidden="1">Utilidad!#REF!</definedName>
    <definedName name="solver_lhs39" localSheetId="1" hidden="1">'Bal Los Colorados'!$V$69</definedName>
    <definedName name="solver_lhs39" localSheetId="6" hidden="1">Utilidad!#REF!</definedName>
    <definedName name="solver_lhs4" localSheetId="1" hidden="1">'Bal Los Colorados'!$AB$48</definedName>
    <definedName name="solver_lhs4" localSheetId="6" hidden="1">Utilidad!$U$103</definedName>
    <definedName name="solver_lhs40" localSheetId="1" hidden="1">'Bal Los Colorados'!$AB$49</definedName>
    <definedName name="solver_lhs40" localSheetId="6" hidden="1">Utilidad!#REF!</definedName>
    <definedName name="solver_lhs41" localSheetId="1" hidden="1">'Bal Los Colorados'!$AB$49</definedName>
    <definedName name="solver_lhs41" localSheetId="6" hidden="1">Utilidad!#REF!</definedName>
    <definedName name="solver_lhs42" localSheetId="6" hidden="1">Utilidad!#REF!</definedName>
    <definedName name="solver_lhs43" localSheetId="6" hidden="1">Utilidad!#REF!</definedName>
    <definedName name="solver_lhs44" localSheetId="6" hidden="1">Utilidad!#REF!</definedName>
    <definedName name="solver_lhs45" localSheetId="6" hidden="1">Utilidad!#REF!</definedName>
    <definedName name="solver_lhs46" localSheetId="6" hidden="1">Utilidad!#REF!</definedName>
    <definedName name="solver_lhs47" localSheetId="6" hidden="1">Utilidad!#REF!</definedName>
    <definedName name="solver_lhs48" localSheetId="6" hidden="1">Utilidad!#REF!</definedName>
    <definedName name="solver_lhs49" localSheetId="6" hidden="1">Utilidad!#REF!</definedName>
    <definedName name="solver_lhs5" localSheetId="1" hidden="1">'Bal Los Colorados'!$AB$49</definedName>
    <definedName name="solver_lhs5" localSheetId="6" hidden="1">Utilidad!$U$105</definedName>
    <definedName name="solver_lhs50" localSheetId="6" hidden="1">Utilidad!#REF!</definedName>
    <definedName name="solver_lhs51" localSheetId="6" hidden="1">Utilidad!#REF!</definedName>
    <definedName name="solver_lhs52" localSheetId="6" hidden="1">Utilidad!#REF!</definedName>
    <definedName name="solver_lhs53" localSheetId="6" hidden="1">Utilidad!#REF!</definedName>
    <definedName name="solver_lhs54" localSheetId="6" hidden="1">Utilidad!#REF!</definedName>
    <definedName name="solver_lhs55" localSheetId="6" hidden="1">Utilidad!#REF!</definedName>
    <definedName name="solver_lhs56" localSheetId="6" hidden="1">Utilidad!#REF!</definedName>
    <definedName name="solver_lhs57" localSheetId="6" hidden="1">Utilidad!#REF!</definedName>
    <definedName name="solver_lhs58" localSheetId="6" hidden="1">Utilidad!#REF!</definedName>
    <definedName name="solver_lhs59" localSheetId="6" hidden="1">Utilidad!#REF!</definedName>
    <definedName name="solver_lhs6" localSheetId="1" hidden="1">'Bal Los Colorados'!$AB$50</definedName>
    <definedName name="solver_lhs6" localSheetId="6" hidden="1">Utilidad!$U$122</definedName>
    <definedName name="solver_lhs60" localSheetId="6" hidden="1">Utilidad!#REF!</definedName>
    <definedName name="solver_lhs61" localSheetId="6" hidden="1">Utilidad!#REF!</definedName>
    <definedName name="solver_lhs62" localSheetId="6" hidden="1">Utilidad!#REF!</definedName>
    <definedName name="solver_lhs63" localSheetId="6" hidden="1">Utilidad!#REF!</definedName>
    <definedName name="solver_lhs64" localSheetId="6" hidden="1">Utilidad!#REF!</definedName>
    <definedName name="solver_lhs65" localSheetId="6" hidden="1">Utilidad!#REF!</definedName>
    <definedName name="solver_lhs66" localSheetId="6" hidden="1">Utilidad!$W$90</definedName>
    <definedName name="solver_lhs67" localSheetId="6" hidden="1">Utilidad!$W$96</definedName>
    <definedName name="solver_lhs68" localSheetId="6" hidden="1">Utilidad!$W$96</definedName>
    <definedName name="solver_lhs69" localSheetId="6" hidden="1">Utilidad!$W$96</definedName>
    <definedName name="solver_lhs7" localSheetId="1" hidden="1">'Bal Los Colorados'!$AB$51</definedName>
    <definedName name="solver_lhs7" localSheetId="6" hidden="1">Utilidad!$U$124</definedName>
    <definedName name="solver_lhs70" localSheetId="6" hidden="1">Utilidad!$W$96</definedName>
    <definedName name="solver_lhs71" localSheetId="6" hidden="1">Utilidad!$W$96</definedName>
    <definedName name="solver_lhs72" localSheetId="6" hidden="1">Utilidad!$W$96</definedName>
    <definedName name="solver_lhs73" localSheetId="6" hidden="1">Utilidad!$W$96</definedName>
    <definedName name="solver_lhs74" localSheetId="6" hidden="1">Utilidad!$W$96</definedName>
    <definedName name="solver_lhs75" localSheetId="6" hidden="1">Utilidad!$W$96</definedName>
    <definedName name="solver_lhs76" localSheetId="6" hidden="1">Utilidad!$W$96</definedName>
    <definedName name="solver_lhs77" localSheetId="6" hidden="1">Utilidad!$W$96</definedName>
    <definedName name="solver_lhs78" localSheetId="6" hidden="1">Utilidad!$W$96</definedName>
    <definedName name="solver_lhs79" localSheetId="6" hidden="1">Utilidad!$W$96</definedName>
    <definedName name="solver_lhs8" localSheetId="1" hidden="1">'Bal Los Colorados'!$AB$52</definedName>
    <definedName name="solver_lhs8" localSheetId="6" hidden="1">Utilidad!$U$126</definedName>
    <definedName name="solver_lhs80" localSheetId="6" hidden="1">Utilidad!$W$96</definedName>
    <definedName name="solver_lhs81" localSheetId="6" hidden="1">Utilidad!#REF!</definedName>
    <definedName name="solver_lhs82" localSheetId="6" hidden="1">Utilidad!$W$96</definedName>
    <definedName name="solver_lhs9" localSheetId="1" hidden="1">'Bal Los Colorados'!$AB$53</definedName>
    <definedName name="solver_lhs9" localSheetId="6" hidden="1">Utilidad!$U$67</definedName>
    <definedName name="solver_lin" localSheetId="6" hidden="1">2</definedName>
    <definedName name="solver_mip" localSheetId="1" hidden="1">2147483647</definedName>
    <definedName name="solver_mip" localSheetId="8" hidden="1">2147483647</definedName>
    <definedName name="solver_mip" localSheetId="5" hidden="1">2147483647</definedName>
    <definedName name="solver_mip" localSheetId="3" hidden="1">2147483647</definedName>
    <definedName name="solver_mip" localSheetId="6" hidden="1">2147483647</definedName>
    <definedName name="solver_mni" localSheetId="1" hidden="1">30</definedName>
    <definedName name="solver_mni" localSheetId="8" hidden="1">30</definedName>
    <definedName name="solver_mni" localSheetId="5" hidden="1">30</definedName>
    <definedName name="solver_mni" localSheetId="3" hidden="1">30</definedName>
    <definedName name="solver_mni" localSheetId="6" hidden="1">30</definedName>
    <definedName name="solver_mrt" localSheetId="1" hidden="1">0.075</definedName>
    <definedName name="solver_mrt" localSheetId="8" hidden="1">0.075</definedName>
    <definedName name="solver_mrt" localSheetId="5" hidden="1">0.075</definedName>
    <definedName name="solver_mrt" localSheetId="3" hidden="1">0.075</definedName>
    <definedName name="solver_mrt" localSheetId="6" hidden="1">0.075</definedName>
    <definedName name="solver_msl" localSheetId="1" hidden="1">2</definedName>
    <definedName name="solver_msl" localSheetId="8" hidden="1">2</definedName>
    <definedName name="solver_msl" localSheetId="5" hidden="1">2</definedName>
    <definedName name="solver_msl" localSheetId="3" hidden="1">2</definedName>
    <definedName name="solver_msl" localSheetId="6" hidden="1">2</definedName>
    <definedName name="solver_neg" localSheetId="1" hidden="1">1</definedName>
    <definedName name="solver_neg" localSheetId="8" hidden="1">1</definedName>
    <definedName name="solver_neg" localSheetId="5" hidden="1">1</definedName>
    <definedName name="solver_neg" localSheetId="3" hidden="1">1</definedName>
    <definedName name="solver_neg" localSheetId="6" hidden="1">1</definedName>
    <definedName name="solver_nod" localSheetId="1" hidden="1">2147483647</definedName>
    <definedName name="solver_nod" localSheetId="8" hidden="1">2147483647</definedName>
    <definedName name="solver_nod" localSheetId="5" hidden="1">2147483647</definedName>
    <definedName name="solver_nod" localSheetId="3" hidden="1">2147483647</definedName>
    <definedName name="solver_nod" localSheetId="6" hidden="1">2147483647</definedName>
    <definedName name="solver_num" localSheetId="1" hidden="1">38</definedName>
    <definedName name="solver_num" localSheetId="8" hidden="1">0</definedName>
    <definedName name="solver_num" localSheetId="5" hidden="1">0</definedName>
    <definedName name="solver_num" localSheetId="3" hidden="1">0</definedName>
    <definedName name="solver_num" localSheetId="6" hidden="1">19</definedName>
    <definedName name="solver_nwt" localSheetId="1" hidden="1">1</definedName>
    <definedName name="solver_nwt" localSheetId="8" hidden="1">1</definedName>
    <definedName name="solver_nwt" localSheetId="5" hidden="1">1</definedName>
    <definedName name="solver_nwt" localSheetId="3" hidden="1">1</definedName>
    <definedName name="solver_nwt" localSheetId="6" hidden="1">1</definedName>
    <definedName name="solver_opt" localSheetId="1" hidden="1">'Bal Los Colorados'!$AB$58</definedName>
    <definedName name="solver_opt" localSheetId="8" hidden="1">Diagrama!$Q$32</definedName>
    <definedName name="solver_opt" localSheetId="5" hidden="1">'Resumen Planta Pellets'!$R$15</definedName>
    <definedName name="solver_opt" localSheetId="3" hidden="1">'Resumen Planta Pellets (2)'!$R$15</definedName>
    <definedName name="solver_opt" localSheetId="6" hidden="1">Utilidad!$AB$93</definedName>
    <definedName name="solver_pre" localSheetId="1" hidden="1">0.000001</definedName>
    <definedName name="solver_pre" localSheetId="8" hidden="1">0.000001</definedName>
    <definedName name="solver_pre" localSheetId="5" hidden="1">0.000001</definedName>
    <definedName name="solver_pre" localSheetId="3" hidden="1">0.000001</definedName>
    <definedName name="solver_pre" localSheetId="6" hidden="1">0.000001</definedName>
    <definedName name="solver_rbv" localSheetId="1" hidden="1">1</definedName>
    <definedName name="solver_rbv" localSheetId="8" hidden="1">2</definedName>
    <definedName name="solver_rbv" localSheetId="5" hidden="1">1</definedName>
    <definedName name="solver_rbv" localSheetId="3" hidden="1">1</definedName>
    <definedName name="solver_rbv" localSheetId="6" hidden="1">1</definedName>
    <definedName name="solver_rel1" localSheetId="1" hidden="1">2</definedName>
    <definedName name="solver_rel1" localSheetId="6" hidden="1">2</definedName>
    <definedName name="solver_rel10" localSheetId="1" hidden="1">2</definedName>
    <definedName name="solver_rel10" localSheetId="6" hidden="1">1</definedName>
    <definedName name="solver_rel11" localSheetId="1" hidden="1">2</definedName>
    <definedName name="solver_rel11" localSheetId="6" hidden="1">1</definedName>
    <definedName name="solver_rel12" localSheetId="1" hidden="1">2</definedName>
    <definedName name="solver_rel12" localSheetId="6" hidden="1">1</definedName>
    <definedName name="solver_rel13" localSheetId="1" hidden="1">2</definedName>
    <definedName name="solver_rel13" localSheetId="6" hidden="1">1</definedName>
    <definedName name="solver_rel14" localSheetId="1" hidden="1">2</definedName>
    <definedName name="solver_rel14" localSheetId="6" hidden="1">1</definedName>
    <definedName name="solver_rel15" localSheetId="1" hidden="1">2</definedName>
    <definedName name="solver_rel15" localSheetId="6" hidden="1">1</definedName>
    <definedName name="solver_rel16" localSheetId="1" hidden="1">2</definedName>
    <definedName name="solver_rel16" localSheetId="6" hidden="1">1</definedName>
    <definedName name="solver_rel17" localSheetId="1" hidden="1">2</definedName>
    <definedName name="solver_rel17" localSheetId="6" hidden="1">1</definedName>
    <definedName name="solver_rel18" localSheetId="1" hidden="1">2</definedName>
    <definedName name="solver_rel18" localSheetId="6" hidden="1">1</definedName>
    <definedName name="solver_rel19" localSheetId="1" hidden="1">2</definedName>
    <definedName name="solver_rel19" localSheetId="6" hidden="1">1</definedName>
    <definedName name="solver_rel2" localSheetId="1" hidden="1">2</definedName>
    <definedName name="solver_rel2" localSheetId="6" hidden="1">2</definedName>
    <definedName name="solver_rel20" localSheetId="1" hidden="1">2</definedName>
    <definedName name="solver_rel20" localSheetId="6" hidden="1">1</definedName>
    <definedName name="solver_rel21" localSheetId="1" hidden="1">2</definedName>
    <definedName name="solver_rel21" localSheetId="6" hidden="1">1</definedName>
    <definedName name="solver_rel22" localSheetId="1" hidden="1">2</definedName>
    <definedName name="solver_rel22" localSheetId="6" hidden="1">1</definedName>
    <definedName name="solver_rel23" localSheetId="1" hidden="1">1</definedName>
    <definedName name="solver_rel23" localSheetId="6" hidden="1">1</definedName>
    <definedName name="solver_rel24" localSheetId="1" hidden="1">1</definedName>
    <definedName name="solver_rel24" localSheetId="6" hidden="1">1</definedName>
    <definedName name="solver_rel25" localSheetId="1" hidden="1">1</definedName>
    <definedName name="solver_rel25" localSheetId="6" hidden="1">1</definedName>
    <definedName name="solver_rel26" localSheetId="1" hidden="1">1</definedName>
    <definedName name="solver_rel26" localSheetId="6" hidden="1">1</definedName>
    <definedName name="solver_rel27" localSheetId="1" hidden="1">1</definedName>
    <definedName name="solver_rel27" localSheetId="6" hidden="1">1</definedName>
    <definedName name="solver_rel28" localSheetId="1" hidden="1">1</definedName>
    <definedName name="solver_rel28" localSheetId="6" hidden="1">2</definedName>
    <definedName name="solver_rel29" localSheetId="1" hidden="1">1</definedName>
    <definedName name="solver_rel29" localSheetId="6" hidden="1">2</definedName>
    <definedName name="solver_rel3" localSheetId="1" hidden="1">2</definedName>
    <definedName name="solver_rel3" localSheetId="6" hidden="1">1</definedName>
    <definedName name="solver_rel30" localSheetId="1" hidden="1">1</definedName>
    <definedName name="solver_rel30" localSheetId="6" hidden="1">2</definedName>
    <definedName name="solver_rel31" localSheetId="1" hidden="1">1</definedName>
    <definedName name="solver_rel31" localSheetId="6" hidden="1">2</definedName>
    <definedName name="solver_rel32" localSheetId="1" hidden="1">1</definedName>
    <definedName name="solver_rel32" localSheetId="6" hidden="1">2</definedName>
    <definedName name="solver_rel33" localSheetId="1" hidden="1">1</definedName>
    <definedName name="solver_rel33" localSheetId="6" hidden="1">2</definedName>
    <definedName name="solver_rel34" localSheetId="1" hidden="1">1</definedName>
    <definedName name="solver_rel34" localSheetId="6" hidden="1">2</definedName>
    <definedName name="solver_rel35" localSheetId="1" hidden="1">1</definedName>
    <definedName name="solver_rel35" localSheetId="6" hidden="1">2</definedName>
    <definedName name="solver_rel36" localSheetId="1" hidden="1">1</definedName>
    <definedName name="solver_rel36" localSheetId="6" hidden="1">2</definedName>
    <definedName name="solver_rel37" localSheetId="1" hidden="1">1</definedName>
    <definedName name="solver_rel37" localSheetId="6" hidden="1">2</definedName>
    <definedName name="solver_rel38" localSheetId="1" hidden="1">1</definedName>
    <definedName name="solver_rel38" localSheetId="6" hidden="1">2</definedName>
    <definedName name="solver_rel39" localSheetId="1" hidden="1">1</definedName>
    <definedName name="solver_rel39" localSheetId="6" hidden="1">2</definedName>
    <definedName name="solver_rel4" localSheetId="1" hidden="1">2</definedName>
    <definedName name="solver_rel4" localSheetId="6" hidden="1">1</definedName>
    <definedName name="solver_rel40" localSheetId="1" hidden="1">2</definedName>
    <definedName name="solver_rel40" localSheetId="6" hidden="1">2</definedName>
    <definedName name="solver_rel41" localSheetId="1" hidden="1">2</definedName>
    <definedName name="solver_rel41" localSheetId="6" hidden="1">2</definedName>
    <definedName name="solver_rel42" localSheetId="6" hidden="1">2</definedName>
    <definedName name="solver_rel43" localSheetId="6" hidden="1">2</definedName>
    <definedName name="solver_rel44" localSheetId="6" hidden="1">2</definedName>
    <definedName name="solver_rel45" localSheetId="6" hidden="1">2</definedName>
    <definedName name="solver_rel46" localSheetId="6" hidden="1">2</definedName>
    <definedName name="solver_rel47" localSheetId="6" hidden="1">2</definedName>
    <definedName name="solver_rel48" localSheetId="6" hidden="1">2</definedName>
    <definedName name="solver_rel49" localSheetId="6" hidden="1">2</definedName>
    <definedName name="solver_rel5" localSheetId="1" hidden="1">2</definedName>
    <definedName name="solver_rel5" localSheetId="6" hidden="1">1</definedName>
    <definedName name="solver_rel50" localSheetId="6" hidden="1">2</definedName>
    <definedName name="solver_rel51" localSheetId="6" hidden="1">2</definedName>
    <definedName name="solver_rel52" localSheetId="6" hidden="1">2</definedName>
    <definedName name="solver_rel53" localSheetId="6" hidden="1">2</definedName>
    <definedName name="solver_rel54" localSheetId="6" hidden="1">2</definedName>
    <definedName name="solver_rel55" localSheetId="6" hidden="1">2</definedName>
    <definedName name="solver_rel56" localSheetId="6" hidden="1">2</definedName>
    <definedName name="solver_rel57" localSheetId="6" hidden="1">2</definedName>
    <definedName name="solver_rel58" localSheetId="6" hidden="1">2</definedName>
    <definedName name="solver_rel59" localSheetId="6" hidden="1">2</definedName>
    <definedName name="solver_rel6" localSheetId="1" hidden="1">2</definedName>
    <definedName name="solver_rel6" localSheetId="6" hidden="1">1</definedName>
    <definedName name="solver_rel60" localSheetId="6" hidden="1">2</definedName>
    <definedName name="solver_rel61" localSheetId="6" hidden="1">2</definedName>
    <definedName name="solver_rel62" localSheetId="6" hidden="1">2</definedName>
    <definedName name="solver_rel63" localSheetId="6" hidden="1">2</definedName>
    <definedName name="solver_rel64" localSheetId="6" hidden="1">2</definedName>
    <definedName name="solver_rel65" localSheetId="6" hidden="1">2</definedName>
    <definedName name="solver_rel66" localSheetId="6" hidden="1">1</definedName>
    <definedName name="solver_rel67" localSheetId="6" hidden="1">1</definedName>
    <definedName name="solver_rel68" localSheetId="6" hidden="1">1</definedName>
    <definedName name="solver_rel69" localSheetId="6" hidden="1">1</definedName>
    <definedName name="solver_rel7" localSheetId="1" hidden="1">2</definedName>
    <definedName name="solver_rel7" localSheetId="6" hidden="1">1</definedName>
    <definedName name="solver_rel70" localSheetId="6" hidden="1">1</definedName>
    <definedName name="solver_rel71" localSheetId="6" hidden="1">1</definedName>
    <definedName name="solver_rel72" localSheetId="6" hidden="1">1</definedName>
    <definedName name="solver_rel73" localSheetId="6" hidden="1">1</definedName>
    <definedName name="solver_rel74" localSheetId="6" hidden="1">1</definedName>
    <definedName name="solver_rel75" localSheetId="6" hidden="1">1</definedName>
    <definedName name="solver_rel76" localSheetId="6" hidden="1">1</definedName>
    <definedName name="solver_rel77" localSheetId="6" hidden="1">1</definedName>
    <definedName name="solver_rel78" localSheetId="6" hidden="1">1</definedName>
    <definedName name="solver_rel79" localSheetId="6" hidden="1">1</definedName>
    <definedName name="solver_rel8" localSheetId="1" hidden="1">2</definedName>
    <definedName name="solver_rel8" localSheetId="6" hidden="1">1</definedName>
    <definedName name="solver_rel80" localSheetId="6" hidden="1">1</definedName>
    <definedName name="solver_rel81" localSheetId="6" hidden="1">2</definedName>
    <definedName name="solver_rel82" localSheetId="6" hidden="1">1</definedName>
    <definedName name="solver_rel9" localSheetId="1" hidden="1">2</definedName>
    <definedName name="solver_rel9" localSheetId="6" hidden="1">1</definedName>
    <definedName name="solver_rhs1" localSheetId="1" hidden="1">0</definedName>
    <definedName name="solver_rhs1" localSheetId="6" hidden="1">Utilidad!$AE$67:$AE$90</definedName>
    <definedName name="solver_rhs10" localSheetId="1" hidden="1">0</definedName>
    <definedName name="solver_rhs10" localSheetId="6" hidden="1">Utilidad!$V$68</definedName>
    <definedName name="solver_rhs11" localSheetId="1" hidden="1">0</definedName>
    <definedName name="solver_rhs11" localSheetId="6" hidden="1">Utilidad!$V$69</definedName>
    <definedName name="solver_rhs12" localSheetId="1" hidden="1">0</definedName>
    <definedName name="solver_rhs12" localSheetId="6" hidden="1">Utilidad!$V$80</definedName>
    <definedName name="solver_rhs13" localSheetId="1" hidden="1">0</definedName>
    <definedName name="solver_rhs13" localSheetId="6" hidden="1">Utilidad!$V$89</definedName>
    <definedName name="solver_rhs14" localSheetId="1" hidden="1">0</definedName>
    <definedName name="solver_rhs14" localSheetId="6" hidden="1">Utilidad!$X$120</definedName>
    <definedName name="solver_rhs15" localSheetId="1" hidden="1">0</definedName>
    <definedName name="solver_rhs15" localSheetId="6" hidden="1">Utilidad!$X$105</definedName>
    <definedName name="solver_rhs16" localSheetId="1" hidden="1">0</definedName>
    <definedName name="solver_rhs16" localSheetId="6" hidden="1">Utilidad!$X$122</definedName>
    <definedName name="solver_rhs17" localSheetId="1" hidden="1">0</definedName>
    <definedName name="solver_rhs17" localSheetId="6" hidden="1">Utilidad!$X$124</definedName>
    <definedName name="solver_rhs18" localSheetId="1" hidden="1">0</definedName>
    <definedName name="solver_rhs18" localSheetId="6" hidden="1">Utilidad!$X$68</definedName>
    <definedName name="solver_rhs19" localSheetId="1" hidden="1">0</definedName>
    <definedName name="solver_rhs19" localSheetId="6" hidden="1">Utilidad!$X$89</definedName>
    <definedName name="solver_rhs2" localSheetId="1" hidden="1">0</definedName>
    <definedName name="solver_rhs2" localSheetId="6" hidden="1">Utilidad!$AE$67:$AE$90</definedName>
    <definedName name="solver_rhs20" localSheetId="1" hidden="1">0</definedName>
    <definedName name="solver_rhs20" localSheetId="6" hidden="1">Utilidad!$X$89</definedName>
    <definedName name="solver_rhs21" localSheetId="1" hidden="1">0</definedName>
    <definedName name="solver_rhs21" localSheetId="6" hidden="1">Utilidad!$X$101</definedName>
    <definedName name="solver_rhs22" localSheetId="1" hidden="1">0</definedName>
    <definedName name="solver_rhs22" localSheetId="6" hidden="1">Utilidad!$X$101</definedName>
    <definedName name="solver_rhs23" localSheetId="1" hidden="1">'Bal Los Colorados'!$U$48</definedName>
    <definedName name="solver_rhs23" localSheetId="6" hidden="1">Utilidad!$X$101</definedName>
    <definedName name="solver_rhs24" localSheetId="1" hidden="1">'Bal Los Colorados'!$U$53</definedName>
    <definedName name="solver_rhs24" localSheetId="6" hidden="1">Utilidad!$X$101</definedName>
    <definedName name="solver_rhs25" localSheetId="1" hidden="1">'Bal Los Colorados'!$U$55</definedName>
    <definedName name="solver_rhs25" localSheetId="6" hidden="1">Utilidad!$X$89</definedName>
    <definedName name="solver_rhs26" localSheetId="1" hidden="1">'Bal Los Colorados'!$U$57</definedName>
    <definedName name="solver_rhs26" localSheetId="6" hidden="1">Utilidad!$X$101</definedName>
    <definedName name="solver_rhs27" localSheetId="1" hidden="1">'Bal Los Colorados'!$U$58</definedName>
    <definedName name="solver_rhs27" localSheetId="6" hidden="1">Utilidad!$X$101</definedName>
    <definedName name="solver_rhs28" localSheetId="1" hidden="1">'Bal Los Colorados'!$U$59</definedName>
    <definedName name="solver_rhs28" localSheetId="6" hidden="1">0</definedName>
    <definedName name="solver_rhs29" localSheetId="1" hidden="1">'Bal Los Colorados'!$U$68</definedName>
    <definedName name="solver_rhs29" localSheetId="6" hidden="1">0</definedName>
    <definedName name="solver_rhs3" localSheetId="1" hidden="1">0</definedName>
    <definedName name="solver_rhs3" localSheetId="6" hidden="1">Utilidad!$V$101</definedName>
    <definedName name="solver_rhs30" localSheetId="1" hidden="1">'Bal Los Colorados'!$U$69</definedName>
    <definedName name="solver_rhs30" localSheetId="6" hidden="1">0</definedName>
    <definedName name="solver_rhs31" localSheetId="1" hidden="1">'Bal Los Colorados'!$W$46</definedName>
    <definedName name="solver_rhs31" localSheetId="6" hidden="1">0</definedName>
    <definedName name="solver_rhs32" localSheetId="1" hidden="1">'Bal Los Colorados'!$W$55</definedName>
    <definedName name="solver_rhs32" localSheetId="6" hidden="1">0</definedName>
    <definedName name="solver_rhs33" localSheetId="1" hidden="1">'Bal Los Colorados'!$W$57</definedName>
    <definedName name="solver_rhs33" localSheetId="6" hidden="1">0</definedName>
    <definedName name="solver_rhs34" localSheetId="1" hidden="1">'Bal Los Colorados'!$W$59</definedName>
    <definedName name="solver_rhs34" localSheetId="6" hidden="1">0</definedName>
    <definedName name="solver_rhs35" localSheetId="1" hidden="1">'Bal Los Colorados'!$W$63</definedName>
    <definedName name="solver_rhs35" localSheetId="6" hidden="1">0</definedName>
    <definedName name="solver_rhs36" localSheetId="1" hidden="1">'Bal Los Colorados'!$W$66</definedName>
    <definedName name="solver_rhs36" localSheetId="6" hidden="1">0</definedName>
    <definedName name="solver_rhs37" localSheetId="1" hidden="1">'Bal Los Colorados'!$W$68</definedName>
    <definedName name="solver_rhs37" localSheetId="6" hidden="1">0</definedName>
    <definedName name="solver_rhs38" localSheetId="1" hidden="1">'Bal Los Colorados'!$W$69</definedName>
    <definedName name="solver_rhs38" localSheetId="6" hidden="1">0</definedName>
    <definedName name="solver_rhs39" localSheetId="1" hidden="1">'Bal Los Colorados'!$W$69</definedName>
    <definedName name="solver_rhs39" localSheetId="6" hidden="1">0</definedName>
    <definedName name="solver_rhs4" localSheetId="1" hidden="1">0</definedName>
    <definedName name="solver_rhs4" localSheetId="6" hidden="1">Utilidad!$V$103</definedName>
    <definedName name="solver_rhs40" localSheetId="1" hidden="1">0</definedName>
    <definedName name="solver_rhs40" localSheetId="6" hidden="1">0</definedName>
    <definedName name="solver_rhs41" localSheetId="1" hidden="1">0</definedName>
    <definedName name="solver_rhs41" localSheetId="6" hidden="1">0</definedName>
    <definedName name="solver_rhs42" localSheetId="6" hidden="1">0</definedName>
    <definedName name="solver_rhs43" localSheetId="6" hidden="1">0</definedName>
    <definedName name="solver_rhs44" localSheetId="6" hidden="1">0</definedName>
    <definedName name="solver_rhs45" localSheetId="6" hidden="1">0</definedName>
    <definedName name="solver_rhs46" localSheetId="6" hidden="1">0</definedName>
    <definedName name="solver_rhs47" localSheetId="6" hidden="1">0</definedName>
    <definedName name="solver_rhs48" localSheetId="6" hidden="1">0</definedName>
    <definedName name="solver_rhs49" localSheetId="6" hidden="1">0</definedName>
    <definedName name="solver_rhs5" localSheetId="1" hidden="1">0</definedName>
    <definedName name="solver_rhs5" localSheetId="6" hidden="1">Utilidad!$V$105</definedName>
    <definedName name="solver_rhs50" localSheetId="6" hidden="1">0</definedName>
    <definedName name="solver_rhs51" localSheetId="6" hidden="1">0</definedName>
    <definedName name="solver_rhs52" localSheetId="6" hidden="1">0</definedName>
    <definedName name="solver_rhs53" localSheetId="6" hidden="1">0</definedName>
    <definedName name="solver_rhs54" localSheetId="6" hidden="1">0</definedName>
    <definedName name="solver_rhs55" localSheetId="6" hidden="1">0</definedName>
    <definedName name="solver_rhs56" localSheetId="6" hidden="1">0</definedName>
    <definedName name="solver_rhs57" localSheetId="6" hidden="1">0</definedName>
    <definedName name="solver_rhs58" localSheetId="6" hidden="1">0</definedName>
    <definedName name="solver_rhs59" localSheetId="6" hidden="1">0</definedName>
    <definedName name="solver_rhs6" localSheetId="1" hidden="1">0</definedName>
    <definedName name="solver_rhs6" localSheetId="6" hidden="1">Utilidad!$V$122</definedName>
    <definedName name="solver_rhs60" localSheetId="6" hidden="1">0</definedName>
    <definedName name="solver_rhs61" localSheetId="6" hidden="1">0</definedName>
    <definedName name="solver_rhs62" localSheetId="6" hidden="1">0</definedName>
    <definedName name="solver_rhs63" localSheetId="6" hidden="1">0</definedName>
    <definedName name="solver_rhs64" localSheetId="6" hidden="1">0</definedName>
    <definedName name="solver_rhs65" localSheetId="6" hidden="1">0</definedName>
    <definedName name="solver_rhs66" localSheetId="6" hidden="1">Utilidad!$X$90</definedName>
    <definedName name="solver_rhs67" localSheetId="6" hidden="1">Utilidad!$X$96</definedName>
    <definedName name="solver_rhs68" localSheetId="6" hidden="1">Utilidad!$X$96</definedName>
    <definedName name="solver_rhs69" localSheetId="6" hidden="1">Utilidad!$X$96</definedName>
    <definedName name="solver_rhs7" localSheetId="1" hidden="1">0</definedName>
    <definedName name="solver_rhs7" localSheetId="6" hidden="1">Utilidad!$V$124</definedName>
    <definedName name="solver_rhs70" localSheetId="6" hidden="1">Utilidad!$X$96</definedName>
    <definedName name="solver_rhs71" localSheetId="6" hidden="1">Utilidad!$X$96</definedName>
    <definedName name="solver_rhs72" localSheetId="6" hidden="1">Utilidad!$X$96</definedName>
    <definedName name="solver_rhs73" localSheetId="6" hidden="1">Utilidad!$X$96</definedName>
    <definedName name="solver_rhs74" localSheetId="6" hidden="1">Utilidad!$X$96</definedName>
    <definedName name="solver_rhs75" localSheetId="6" hidden="1">Utilidad!$X$96</definedName>
    <definedName name="solver_rhs76" localSheetId="6" hidden="1">Utilidad!$X$96</definedName>
    <definedName name="solver_rhs77" localSheetId="6" hidden="1">Utilidad!$X$96</definedName>
    <definedName name="solver_rhs78" localSheetId="6" hidden="1">Utilidad!$X$96</definedName>
    <definedName name="solver_rhs79" localSheetId="6" hidden="1">Utilidad!$X$96</definedName>
    <definedName name="solver_rhs8" localSheetId="1" hidden="1">0</definedName>
    <definedName name="solver_rhs8" localSheetId="6" hidden="1">Utilidad!$V$126</definedName>
    <definedName name="solver_rhs80" localSheetId="6" hidden="1">Utilidad!$X$96</definedName>
    <definedName name="solver_rhs81" localSheetId="6" hidden="1">0</definedName>
    <definedName name="solver_rhs82" localSheetId="6" hidden="1">Utilidad!$X$96</definedName>
    <definedName name="solver_rhs9" localSheetId="1" hidden="1">0</definedName>
    <definedName name="solver_rhs9" localSheetId="6" hidden="1">Utilidad!$V$67</definedName>
    <definedName name="solver_rlx" localSheetId="1" hidden="1">2</definedName>
    <definedName name="solver_rlx" localSheetId="8" hidden="1">2</definedName>
    <definedName name="solver_rlx" localSheetId="5" hidden="1">2</definedName>
    <definedName name="solver_rlx" localSheetId="3" hidden="1">2</definedName>
    <definedName name="solver_rlx" localSheetId="6" hidden="1">2</definedName>
    <definedName name="solver_rsd" localSheetId="1" hidden="1">0</definedName>
    <definedName name="solver_rsd" localSheetId="8" hidden="1">0</definedName>
    <definedName name="solver_rsd" localSheetId="5" hidden="1">0</definedName>
    <definedName name="solver_rsd" localSheetId="3" hidden="1">0</definedName>
    <definedName name="solver_rsd" localSheetId="6" hidden="1">0</definedName>
    <definedName name="solver_scl" localSheetId="1" hidden="1">1</definedName>
    <definedName name="solver_scl" localSheetId="8" hidden="1">2</definedName>
    <definedName name="solver_scl" localSheetId="5" hidden="1">1</definedName>
    <definedName name="solver_scl" localSheetId="3" hidden="1">1</definedName>
    <definedName name="solver_scl" localSheetId="6" hidden="1">1</definedName>
    <definedName name="solver_sho" localSheetId="1" hidden="1">2</definedName>
    <definedName name="solver_sho" localSheetId="8" hidden="1">2</definedName>
    <definedName name="solver_sho" localSheetId="5" hidden="1">2</definedName>
    <definedName name="solver_sho" localSheetId="3" hidden="1">2</definedName>
    <definedName name="solver_sho" localSheetId="6" hidden="1">2</definedName>
    <definedName name="solver_ssz" localSheetId="1" hidden="1">100</definedName>
    <definedName name="solver_ssz" localSheetId="8" hidden="1">100</definedName>
    <definedName name="solver_ssz" localSheetId="5" hidden="1">100</definedName>
    <definedName name="solver_ssz" localSheetId="3" hidden="1">100</definedName>
    <definedName name="solver_ssz" localSheetId="6" hidden="1">100</definedName>
    <definedName name="solver_tim" localSheetId="1" hidden="1">2147483647</definedName>
    <definedName name="solver_tim" localSheetId="8" hidden="1">2147483647</definedName>
    <definedName name="solver_tim" localSheetId="5" hidden="1">2147483647</definedName>
    <definedName name="solver_tim" localSheetId="3" hidden="1">2147483647</definedName>
    <definedName name="solver_tim" localSheetId="6" hidden="1">2147483647</definedName>
    <definedName name="solver_tol" localSheetId="1" hidden="1">0.01</definedName>
    <definedName name="solver_tol" localSheetId="8" hidden="1">0.01</definedName>
    <definedName name="solver_tol" localSheetId="5" hidden="1">0.01</definedName>
    <definedName name="solver_tol" localSheetId="3" hidden="1">0.01</definedName>
    <definedName name="solver_tol" localSheetId="6" hidden="1">0.01</definedName>
    <definedName name="solver_typ" localSheetId="1" hidden="1">2</definedName>
    <definedName name="solver_typ" localSheetId="8" hidden="1">1</definedName>
    <definedName name="solver_typ" localSheetId="5" hidden="1">3</definedName>
    <definedName name="solver_typ" localSheetId="3" hidden="1">3</definedName>
    <definedName name="solver_typ" localSheetId="6" hidden="1">2</definedName>
    <definedName name="solver_val" localSheetId="1" hidden="1">0</definedName>
    <definedName name="solver_val" localSheetId="8" hidden="1">0</definedName>
    <definedName name="solver_val" localSheetId="5" hidden="1">87.4</definedName>
    <definedName name="solver_val" localSheetId="3" hidden="1">87.4</definedName>
    <definedName name="solver_val" localSheetId="6" hidden="1">0</definedName>
    <definedName name="solver_ver" localSheetId="1" hidden="1">3</definedName>
    <definedName name="solver_ver" localSheetId="8" hidden="1">3</definedName>
    <definedName name="solver_ver" localSheetId="5" hidden="1">3</definedName>
    <definedName name="solver_ver" localSheetId="3" hidden="1">3</definedName>
    <definedName name="solver_ver" localSheetId="6" hidden="1">3</definedName>
    <definedName name="SUMCHECK" localSheetId="5">#REF!</definedName>
    <definedName name="SUMCHECK" localSheetId="3">#REF!</definedName>
    <definedName name="SUMCHECK">#REF!</definedName>
    <definedName name="SUMCUTONNES" localSheetId="5">#REF!</definedName>
    <definedName name="SUMCUTONNES" localSheetId="3">#REF!</definedName>
    <definedName name="SUMCUTONNES">#REF!</definedName>
    <definedName name="SUMDMT" localSheetId="5">#REF!</definedName>
    <definedName name="SUMDMT" localSheetId="3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6" i="13" l="1"/>
  <c r="B86" i="13"/>
  <c r="B95" i="13" l="1"/>
  <c r="B94" i="13"/>
  <c r="B93" i="13"/>
  <c r="B89" i="13"/>
  <c r="B88" i="13"/>
  <c r="B87" i="13"/>
  <c r="N5" i="16" l="1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4" i="16"/>
  <c r="R5" i="16" l="1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4" i="16"/>
  <c r="J7" i="16"/>
  <c r="K7" i="16"/>
  <c r="M7" i="16"/>
  <c r="J8" i="16"/>
  <c r="K8" i="16"/>
  <c r="M8" i="16"/>
  <c r="J9" i="16"/>
  <c r="K9" i="16"/>
  <c r="M9" i="16"/>
  <c r="J10" i="16"/>
  <c r="K10" i="16"/>
  <c r="M10" i="16"/>
  <c r="J11" i="16"/>
  <c r="K11" i="16"/>
  <c r="M11" i="16"/>
  <c r="J12" i="16"/>
  <c r="K12" i="16"/>
  <c r="M12" i="16"/>
  <c r="J13" i="16"/>
  <c r="K13" i="16"/>
  <c r="M13" i="16"/>
  <c r="J14" i="16"/>
  <c r="K14" i="16"/>
  <c r="M14" i="16"/>
  <c r="J15" i="16"/>
  <c r="K15" i="16"/>
  <c r="M15" i="16"/>
  <c r="J16" i="16"/>
  <c r="K16" i="16"/>
  <c r="M16" i="16"/>
  <c r="J17" i="16"/>
  <c r="K17" i="16"/>
  <c r="M17" i="16"/>
  <c r="J18" i="16"/>
  <c r="K18" i="16"/>
  <c r="M18" i="16"/>
  <c r="J19" i="16"/>
  <c r="K19" i="16"/>
  <c r="M19" i="16"/>
  <c r="J20" i="16"/>
  <c r="K20" i="16"/>
  <c r="M20" i="16"/>
  <c r="J21" i="16"/>
  <c r="K21" i="16"/>
  <c r="M21" i="16"/>
  <c r="J22" i="16"/>
  <c r="K22" i="16"/>
  <c r="M22" i="16"/>
  <c r="J23" i="16"/>
  <c r="K23" i="16"/>
  <c r="M23" i="16"/>
  <c r="J24" i="16"/>
  <c r="K24" i="16"/>
  <c r="M24" i="16"/>
  <c r="J25" i="16"/>
  <c r="K25" i="16"/>
  <c r="M25" i="16"/>
  <c r="J26" i="16"/>
  <c r="K26" i="16"/>
  <c r="M26" i="16"/>
  <c r="J27" i="16"/>
  <c r="K27" i="16"/>
  <c r="M27" i="16"/>
  <c r="J28" i="16"/>
  <c r="K28" i="16"/>
  <c r="M28" i="16"/>
  <c r="J29" i="16"/>
  <c r="K29" i="16"/>
  <c r="M29" i="16"/>
  <c r="J30" i="16"/>
  <c r="K30" i="16"/>
  <c r="M30" i="16"/>
  <c r="J31" i="16"/>
  <c r="K31" i="16"/>
  <c r="M31" i="16"/>
  <c r="J32" i="16"/>
  <c r="K32" i="16"/>
  <c r="M32" i="16"/>
  <c r="J33" i="16"/>
  <c r="K33" i="16"/>
  <c r="M33" i="16"/>
  <c r="J34" i="16"/>
  <c r="K34" i="16"/>
  <c r="M34" i="16"/>
  <c r="J35" i="16"/>
  <c r="K35" i="16"/>
  <c r="M35" i="16"/>
  <c r="J36" i="16"/>
  <c r="K36" i="16"/>
  <c r="M36" i="16"/>
  <c r="J37" i="16"/>
  <c r="K37" i="16"/>
  <c r="M37" i="16"/>
  <c r="J38" i="16"/>
  <c r="K38" i="16"/>
  <c r="M38" i="16"/>
  <c r="J39" i="16"/>
  <c r="K39" i="16"/>
  <c r="M39" i="16"/>
  <c r="J40" i="16"/>
  <c r="K40" i="16"/>
  <c r="M40" i="16"/>
  <c r="J41" i="16"/>
  <c r="K41" i="16"/>
  <c r="M41" i="16"/>
  <c r="J42" i="16"/>
  <c r="K42" i="16"/>
  <c r="M42" i="16"/>
  <c r="J43" i="16"/>
  <c r="K43" i="16"/>
  <c r="M43" i="16"/>
  <c r="J44" i="16"/>
  <c r="K44" i="16"/>
  <c r="M44" i="16"/>
  <c r="J45" i="16"/>
  <c r="K45" i="16"/>
  <c r="M45" i="16"/>
  <c r="J46" i="16"/>
  <c r="K46" i="16"/>
  <c r="M46" i="16"/>
  <c r="J47" i="16"/>
  <c r="K47" i="16"/>
  <c r="M47" i="16"/>
  <c r="J48" i="16"/>
  <c r="K48" i="16"/>
  <c r="M48" i="16"/>
  <c r="J49" i="16"/>
  <c r="K49" i="16"/>
  <c r="M49" i="16"/>
  <c r="J50" i="16"/>
  <c r="K50" i="16"/>
  <c r="M50" i="16"/>
  <c r="J51" i="16"/>
  <c r="K51" i="16"/>
  <c r="M51" i="16"/>
  <c r="J52" i="16"/>
  <c r="K52" i="16"/>
  <c r="M52" i="16"/>
  <c r="J53" i="16"/>
  <c r="K53" i="16"/>
  <c r="M53" i="16"/>
  <c r="J54" i="16"/>
  <c r="K54" i="16"/>
  <c r="M54" i="16"/>
  <c r="J55" i="16"/>
  <c r="K55" i="16"/>
  <c r="M55" i="16"/>
  <c r="J56" i="16"/>
  <c r="K56" i="16"/>
  <c r="M56" i="16"/>
  <c r="J57" i="16"/>
  <c r="K57" i="16"/>
  <c r="M57" i="16"/>
  <c r="J58" i="16"/>
  <c r="K58" i="16"/>
  <c r="M58" i="16"/>
  <c r="J59" i="16"/>
  <c r="K59" i="16"/>
  <c r="M59" i="16"/>
  <c r="J60" i="16"/>
  <c r="K60" i="16"/>
  <c r="M60" i="16"/>
  <c r="J61" i="16"/>
  <c r="K61" i="16"/>
  <c r="M61" i="16"/>
  <c r="J62" i="16"/>
  <c r="K62" i="16"/>
  <c r="M62" i="16"/>
  <c r="J63" i="16"/>
  <c r="K63" i="16"/>
  <c r="M63" i="16"/>
  <c r="K4" i="16"/>
  <c r="J4" i="16"/>
  <c r="M4" i="16" s="1"/>
  <c r="M6" i="16"/>
  <c r="K6" i="16"/>
  <c r="J6" i="16"/>
  <c r="M5" i="16"/>
  <c r="K5" i="16"/>
  <c r="J5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G5" i="16"/>
  <c r="H5" i="16"/>
  <c r="G6" i="16"/>
  <c r="H6" i="16"/>
  <c r="G7" i="16"/>
  <c r="H7" i="16"/>
  <c r="G8" i="16"/>
  <c r="H8" i="16"/>
  <c r="G9" i="16"/>
  <c r="H9" i="16"/>
  <c r="G10" i="16"/>
  <c r="H10" i="16"/>
  <c r="G11" i="16"/>
  <c r="H11" i="16"/>
  <c r="G12" i="16"/>
  <c r="H12" i="16"/>
  <c r="G13" i="16"/>
  <c r="H13" i="16"/>
  <c r="G14" i="16"/>
  <c r="H14" i="16"/>
  <c r="G15" i="16"/>
  <c r="H15" i="16"/>
  <c r="G16" i="16"/>
  <c r="H16" i="16"/>
  <c r="G17" i="16"/>
  <c r="H17" i="16"/>
  <c r="G18" i="16"/>
  <c r="H18" i="16"/>
  <c r="G19" i="16"/>
  <c r="H19" i="16"/>
  <c r="G20" i="16"/>
  <c r="H20" i="16"/>
  <c r="G21" i="16"/>
  <c r="H21" i="16"/>
  <c r="G22" i="16"/>
  <c r="H22" i="16"/>
  <c r="G23" i="16"/>
  <c r="H23" i="16"/>
  <c r="G24" i="16"/>
  <c r="H24" i="16"/>
  <c r="G25" i="16"/>
  <c r="H25" i="16"/>
  <c r="G26" i="16"/>
  <c r="H26" i="16"/>
  <c r="G27" i="16"/>
  <c r="H27" i="16"/>
  <c r="G28" i="16"/>
  <c r="H28" i="16"/>
  <c r="G29" i="16"/>
  <c r="H29" i="16"/>
  <c r="G30" i="16"/>
  <c r="H30" i="16"/>
  <c r="G31" i="16"/>
  <c r="H31" i="16"/>
  <c r="G32" i="16"/>
  <c r="H32" i="16"/>
  <c r="G33" i="16"/>
  <c r="H33" i="16"/>
  <c r="G34" i="16"/>
  <c r="H34" i="16"/>
  <c r="G35" i="16"/>
  <c r="H35" i="16"/>
  <c r="G36" i="16"/>
  <c r="H36" i="16"/>
  <c r="G37" i="16"/>
  <c r="H37" i="16"/>
  <c r="G38" i="16"/>
  <c r="H38" i="16"/>
  <c r="G39" i="16"/>
  <c r="H39" i="16"/>
  <c r="G40" i="16"/>
  <c r="H40" i="16"/>
  <c r="G41" i="16"/>
  <c r="H41" i="16"/>
  <c r="G42" i="16"/>
  <c r="H42" i="16"/>
  <c r="G43" i="16"/>
  <c r="H43" i="16"/>
  <c r="G44" i="16"/>
  <c r="H44" i="16"/>
  <c r="G45" i="16"/>
  <c r="H45" i="16"/>
  <c r="G46" i="16"/>
  <c r="H46" i="16"/>
  <c r="G47" i="16"/>
  <c r="H47" i="16"/>
  <c r="G48" i="16"/>
  <c r="H48" i="16"/>
  <c r="G49" i="16"/>
  <c r="H49" i="16"/>
  <c r="G50" i="16"/>
  <c r="H50" i="16"/>
  <c r="G51" i="16"/>
  <c r="H51" i="16"/>
  <c r="G52" i="16"/>
  <c r="H52" i="16"/>
  <c r="G53" i="16"/>
  <c r="H53" i="16"/>
  <c r="G54" i="16"/>
  <c r="H54" i="16"/>
  <c r="G55" i="16"/>
  <c r="H55" i="16"/>
  <c r="G56" i="16"/>
  <c r="H56" i="16"/>
  <c r="G57" i="16"/>
  <c r="H57" i="16"/>
  <c r="G58" i="16"/>
  <c r="H58" i="16"/>
  <c r="G59" i="16"/>
  <c r="H59" i="16"/>
  <c r="G60" i="16"/>
  <c r="H60" i="16"/>
  <c r="G61" i="16"/>
  <c r="H61" i="16"/>
  <c r="G62" i="16"/>
  <c r="H62" i="16"/>
  <c r="G63" i="16"/>
  <c r="H63" i="16"/>
  <c r="H4" i="16"/>
  <c r="G4" i="16"/>
  <c r="D4" i="16"/>
  <c r="C4" i="16" l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67" i="1"/>
  <c r="O126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67" i="1"/>
  <c r="N67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1" i="1"/>
  <c r="D36" i="18"/>
  <c r="M16" i="18"/>
  <c r="I11" i="18"/>
  <c r="M17" i="18" l="1"/>
  <c r="O56" i="13"/>
  <c r="R18" i="13"/>
  <c r="S40" i="13"/>
  <c r="S65" i="13"/>
  <c r="O76" i="13"/>
  <c r="M46" i="13"/>
  <c r="M38" i="13"/>
  <c r="D46" i="13"/>
  <c r="H46" i="13"/>
  <c r="I16" i="13"/>
  <c r="I26" i="13"/>
  <c r="J91" i="13" l="1"/>
  <c r="D36" i="17" s="1"/>
  <c r="M16" i="17"/>
  <c r="I11" i="17" l="1"/>
  <c r="G21" i="17"/>
  <c r="M17" i="17"/>
  <c r="C5" i="16" l="1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M98" i="13"/>
  <c r="M97" i="13"/>
  <c r="M96" i="13"/>
  <c r="E95" i="13" l="1"/>
  <c r="E88" i="13"/>
  <c r="E90" i="13"/>
  <c r="E89" i="13"/>
  <c r="E87" i="13"/>
  <c r="G87" i="13" l="1"/>
  <c r="G103" i="13"/>
  <c r="O98" i="13"/>
  <c r="Q98" i="13" s="1"/>
  <c r="O97" i="13"/>
  <c r="Q97" i="13" s="1"/>
  <c r="O96" i="13"/>
  <c r="Q96" i="13" s="1"/>
  <c r="P93" i="13"/>
  <c r="Q92" i="13"/>
  <c r="Q91" i="13"/>
  <c r="Q90" i="13"/>
  <c r="Q89" i="13"/>
  <c r="W46" i="13"/>
  <c r="N126" i="1"/>
  <c r="W45" i="13" s="1"/>
  <c r="N125" i="1"/>
  <c r="S57" i="13" s="1"/>
  <c r="T49" i="13"/>
  <c r="N124" i="1"/>
  <c r="T48" i="13" s="1"/>
  <c r="N123" i="1"/>
  <c r="U18" i="13"/>
  <c r="N122" i="1"/>
  <c r="U17" i="13" s="1"/>
  <c r="N121" i="1"/>
  <c r="T40" i="13"/>
  <c r="N120" i="1"/>
  <c r="T39" i="13" s="1"/>
  <c r="R23" i="13"/>
  <c r="N119" i="1"/>
  <c r="R22" i="13" s="1"/>
  <c r="R57" i="13"/>
  <c r="N118" i="1"/>
  <c r="R56" i="13" s="1"/>
  <c r="R52" i="13"/>
  <c r="N117" i="1"/>
  <c r="R51" i="13" s="1"/>
  <c r="R46" i="13"/>
  <c r="N116" i="1"/>
  <c r="R45" i="13" s="1"/>
  <c r="O52" i="13"/>
  <c r="N115" i="1"/>
  <c r="O51" i="13" s="1"/>
  <c r="P72" i="13"/>
  <c r="N114" i="1"/>
  <c r="P71" i="13" s="1"/>
  <c r="Q41" i="13"/>
  <c r="N113" i="1"/>
  <c r="Q40" i="13" s="1"/>
  <c r="O40" i="13"/>
  <c r="N112" i="1"/>
  <c r="O39" i="13" s="1"/>
  <c r="O45" i="13"/>
  <c r="N111" i="1"/>
  <c r="O44" i="13" s="1"/>
  <c r="L15" i="13"/>
  <c r="N110" i="1"/>
  <c r="L14" i="13" s="1"/>
  <c r="R36" i="13"/>
  <c r="N109" i="1"/>
  <c r="R35" i="13" s="1"/>
  <c r="Q33" i="13"/>
  <c r="N108" i="1"/>
  <c r="Q32" i="13" s="1"/>
  <c r="N30" i="13"/>
  <c r="N107" i="1"/>
  <c r="N29" i="13" s="1"/>
  <c r="O35" i="13"/>
  <c r="N106" i="1"/>
  <c r="O34" i="13" s="1"/>
  <c r="T63" i="13"/>
  <c r="N105" i="1"/>
  <c r="T62" i="13" s="1"/>
  <c r="N104" i="1"/>
  <c r="R63" i="13"/>
  <c r="N103" i="1"/>
  <c r="R62" i="13" s="1"/>
  <c r="N102" i="1"/>
  <c r="N59" i="13"/>
  <c r="N101" i="1"/>
  <c r="N58" i="13" s="1"/>
  <c r="N100" i="1"/>
  <c r="O69" i="13"/>
  <c r="N99" i="1"/>
  <c r="O68" i="13" s="1"/>
  <c r="L69" i="13"/>
  <c r="N98" i="1"/>
  <c r="L68" i="13" s="1"/>
  <c r="M73" i="13"/>
  <c r="N97" i="1"/>
  <c r="M72" i="13" s="1"/>
  <c r="G75" i="13"/>
  <c r="N96" i="1"/>
  <c r="G74" i="13" s="1"/>
  <c r="N95" i="1"/>
  <c r="L51" i="13"/>
  <c r="N94" i="1"/>
  <c r="L50" i="13" s="1"/>
  <c r="N93" i="1"/>
  <c r="K60" i="13"/>
  <c r="N92" i="1"/>
  <c r="K59" i="13" s="1"/>
  <c r="H68" i="13"/>
  <c r="N91" i="1"/>
  <c r="H67" i="13" s="1"/>
  <c r="F66" i="13"/>
  <c r="N90" i="1"/>
  <c r="F65" i="13" s="1"/>
  <c r="C45" i="13"/>
  <c r="U69" i="13" s="1"/>
  <c r="N89" i="1"/>
  <c r="C44" i="13" s="1"/>
  <c r="U68" i="13" s="1"/>
  <c r="N88" i="1"/>
  <c r="F45" i="13"/>
  <c r="N87" i="1"/>
  <c r="F44" i="13" s="1"/>
  <c r="J88" i="13" s="1"/>
  <c r="D50" i="13"/>
  <c r="N86" i="1"/>
  <c r="D49" i="13" s="1"/>
  <c r="E61" i="13"/>
  <c r="N85" i="1"/>
  <c r="E60" i="13" s="1"/>
  <c r="N84" i="1"/>
  <c r="E56" i="13"/>
  <c r="N83" i="1"/>
  <c r="E55" i="13" s="1"/>
  <c r="D57" i="13" s="1"/>
  <c r="J54" i="13"/>
  <c r="N82" i="1"/>
  <c r="J53" i="13" s="1"/>
  <c r="I58" i="13"/>
  <c r="N81" i="1"/>
  <c r="I57" i="13" s="1"/>
  <c r="G54" i="13"/>
  <c r="N80" i="1"/>
  <c r="G53" i="13" s="1"/>
  <c r="I49" i="13"/>
  <c r="N79" i="1"/>
  <c r="I48" i="13" s="1"/>
  <c r="J45" i="13"/>
  <c r="N78" i="1"/>
  <c r="J44" i="13" s="1"/>
  <c r="N77" i="1"/>
  <c r="I38" i="13"/>
  <c r="N76" i="1"/>
  <c r="I37" i="13" s="1"/>
  <c r="F32" i="13"/>
  <c r="N75" i="1"/>
  <c r="F31" i="13" s="1"/>
  <c r="E92" i="13" s="1"/>
  <c r="J92" i="13" s="1"/>
  <c r="J35" i="13"/>
  <c r="N74" i="1"/>
  <c r="J34" i="13" s="1"/>
  <c r="I30" i="13"/>
  <c r="N73" i="1"/>
  <c r="I29" i="13" s="1"/>
  <c r="N72" i="1"/>
  <c r="I20" i="13"/>
  <c r="N71" i="1"/>
  <c r="I19" i="13" s="1"/>
  <c r="G93" i="13" s="1"/>
  <c r="K93" i="13" s="1"/>
  <c r="N70" i="1"/>
  <c r="G13" i="13"/>
  <c r="N69" i="1"/>
  <c r="G12" i="13" s="1"/>
  <c r="O10" i="13"/>
  <c r="N68" i="1"/>
  <c r="O9" i="13" s="1"/>
  <c r="E94" i="13" s="1"/>
  <c r="J94" i="13" s="1"/>
  <c r="F5" i="13"/>
  <c r="F4" i="13"/>
  <c r="P126" i="1"/>
  <c r="W47" i="13" s="1"/>
  <c r="P125" i="1"/>
  <c r="S58" i="13" s="1"/>
  <c r="P124" i="1"/>
  <c r="T50" i="13" s="1"/>
  <c r="P123" i="1"/>
  <c r="R19" i="13" s="1"/>
  <c r="P122" i="1"/>
  <c r="U19" i="13" s="1"/>
  <c r="P121" i="1"/>
  <c r="S41" i="13" s="1"/>
  <c r="P120" i="1"/>
  <c r="T41" i="13" s="1"/>
  <c r="P119" i="1"/>
  <c r="R24" i="13" s="1"/>
  <c r="P118" i="1"/>
  <c r="R58" i="13" s="1"/>
  <c r="P117" i="1"/>
  <c r="R53" i="13" s="1"/>
  <c r="P116" i="1"/>
  <c r="R47" i="13" s="1"/>
  <c r="P115" i="1"/>
  <c r="O53" i="13" s="1"/>
  <c r="P114" i="1"/>
  <c r="P73" i="13" s="1"/>
  <c r="P113" i="1"/>
  <c r="Q42" i="13" s="1"/>
  <c r="P112" i="1"/>
  <c r="O41" i="13" s="1"/>
  <c r="P111" i="1"/>
  <c r="O46" i="13" s="1"/>
  <c r="P110" i="1"/>
  <c r="L16" i="13" s="1"/>
  <c r="P109" i="1"/>
  <c r="R37" i="13" s="1"/>
  <c r="P108" i="1"/>
  <c r="Q34" i="13" s="1"/>
  <c r="P107" i="1"/>
  <c r="N31" i="13" s="1"/>
  <c r="P106" i="1"/>
  <c r="O36" i="13" s="1"/>
  <c r="P105" i="1"/>
  <c r="T64" i="13" s="1"/>
  <c r="P104" i="1"/>
  <c r="S66" i="13" s="1"/>
  <c r="P103" i="1"/>
  <c r="R64" i="13" s="1"/>
  <c r="P102" i="1"/>
  <c r="O57" i="13" s="1"/>
  <c r="P101" i="1"/>
  <c r="N60" i="13" s="1"/>
  <c r="P100" i="1"/>
  <c r="O77" i="13" s="1"/>
  <c r="P99" i="1"/>
  <c r="O70" i="13" s="1"/>
  <c r="P98" i="1"/>
  <c r="L70" i="13" s="1"/>
  <c r="P97" i="1"/>
  <c r="M74" i="13" s="1"/>
  <c r="P96" i="1"/>
  <c r="G76" i="13" s="1"/>
  <c r="P95" i="1"/>
  <c r="M47" i="13" s="1"/>
  <c r="P94" i="1"/>
  <c r="L52" i="13" s="1"/>
  <c r="P93" i="1"/>
  <c r="P92" i="1"/>
  <c r="K61" i="13" s="1"/>
  <c r="P91" i="1"/>
  <c r="H69" i="13" s="1"/>
  <c r="P90" i="1"/>
  <c r="F67" i="13" s="1"/>
  <c r="P89" i="1"/>
  <c r="C46" i="13" s="1"/>
  <c r="U70" i="13" s="1"/>
  <c r="P88" i="1"/>
  <c r="D47" i="13" s="1"/>
  <c r="P87" i="1"/>
  <c r="F46" i="13" s="1"/>
  <c r="P86" i="1"/>
  <c r="D51" i="13" s="1"/>
  <c r="P85" i="1"/>
  <c r="E62" i="13" s="1"/>
  <c r="P84" i="1"/>
  <c r="P83" i="1"/>
  <c r="E57" i="13" s="1"/>
  <c r="P82" i="1"/>
  <c r="J55" i="13" s="1"/>
  <c r="P81" i="1"/>
  <c r="I59" i="13" s="1"/>
  <c r="P80" i="1"/>
  <c r="G55" i="13" s="1"/>
  <c r="P79" i="1"/>
  <c r="I50" i="13" s="1"/>
  <c r="P78" i="1"/>
  <c r="J46" i="13" s="1"/>
  <c r="P77" i="1"/>
  <c r="H47" i="13" s="1"/>
  <c r="P76" i="1"/>
  <c r="I39" i="13" s="1"/>
  <c r="P75" i="1"/>
  <c r="F33" i="13" s="1"/>
  <c r="P74" i="1"/>
  <c r="J36" i="13" s="1"/>
  <c r="P73" i="1"/>
  <c r="I31" i="13" s="1"/>
  <c r="P72" i="1"/>
  <c r="I27" i="13" s="1"/>
  <c r="P71" i="1"/>
  <c r="I21" i="13" s="1"/>
  <c r="P70" i="1"/>
  <c r="I17" i="13" s="1"/>
  <c r="P69" i="1"/>
  <c r="G14" i="13" s="1"/>
  <c r="P68" i="1"/>
  <c r="O11" i="13" s="1"/>
  <c r="P67" i="1"/>
  <c r="F6" i="13" s="1"/>
  <c r="N49" i="15"/>
  <c r="J48" i="15"/>
  <c r="P40" i="15"/>
  <c r="J49" i="15" s="1"/>
  <c r="S37" i="15"/>
  <c r="G37" i="15"/>
  <c r="S36" i="15"/>
  <c r="N47" i="15" s="1"/>
  <c r="G36" i="15"/>
  <c r="O34" i="15"/>
  <c r="O33" i="15"/>
  <c r="M31" i="15"/>
  <c r="M30" i="15"/>
  <c r="S29" i="15"/>
  <c r="C29" i="15"/>
  <c r="S28" i="15"/>
  <c r="N48" i="15" s="1"/>
  <c r="C28" i="15"/>
  <c r="N46" i="15" s="1"/>
  <c r="L26" i="15"/>
  <c r="I26" i="15"/>
  <c r="L25" i="15"/>
  <c r="I25" i="15"/>
  <c r="G27" i="15" s="1"/>
  <c r="J47" i="15" s="1"/>
  <c r="P23" i="15"/>
  <c r="P22" i="15"/>
  <c r="Q11" i="15" s="1"/>
  <c r="K21" i="15"/>
  <c r="X20" i="15"/>
  <c r="O20" i="15"/>
  <c r="K20" i="15"/>
  <c r="D17" i="15"/>
  <c r="M16" i="15"/>
  <c r="D16" i="15"/>
  <c r="M15" i="15"/>
  <c r="Q14" i="15"/>
  <c r="H13" i="15"/>
  <c r="J12" i="15"/>
  <c r="H12" i="15"/>
  <c r="J11" i="15"/>
  <c r="Y19" i="15" s="1"/>
  <c r="C9" i="15"/>
  <c r="Q8" i="15"/>
  <c r="C8" i="15"/>
  <c r="N45" i="15" s="1"/>
  <c r="I7" i="15"/>
  <c r="F7" i="15"/>
  <c r="I6" i="15"/>
  <c r="G45" i="15" s="1"/>
  <c r="G50" i="15" s="1"/>
  <c r="F6" i="15"/>
  <c r="I93" i="5"/>
  <c r="I120" i="5" s="1"/>
  <c r="N91" i="5"/>
  <c r="K118" i="5" s="1"/>
  <c r="M82" i="5"/>
  <c r="J109" i="5" s="1"/>
  <c r="M78" i="5"/>
  <c r="J105" i="5" s="1"/>
  <c r="R71" i="5"/>
  <c r="S69" i="5"/>
  <c r="V69" i="5" s="1"/>
  <c r="O69" i="5"/>
  <c r="G38" i="15" s="1"/>
  <c r="N60" i="15" s="1"/>
  <c r="K69" i="5"/>
  <c r="N96" i="5" s="1"/>
  <c r="K123" i="5" s="1"/>
  <c r="J69" i="5"/>
  <c r="R69" i="5" s="1"/>
  <c r="T69" i="5" s="1"/>
  <c r="I69" i="5"/>
  <c r="I96" i="5" s="1"/>
  <c r="I123" i="5" s="1"/>
  <c r="H69" i="5"/>
  <c r="O68" i="5"/>
  <c r="S38" i="15" s="1"/>
  <c r="N58" i="15" s="1"/>
  <c r="K68" i="5"/>
  <c r="S68" i="5" s="1"/>
  <c r="V68" i="5" s="1"/>
  <c r="J68" i="5"/>
  <c r="M95" i="5" s="1"/>
  <c r="J122" i="5" s="1"/>
  <c r="I68" i="5"/>
  <c r="I95" i="5" s="1"/>
  <c r="I122" i="5" s="1"/>
  <c r="H68" i="5"/>
  <c r="O67" i="5"/>
  <c r="I67" i="5"/>
  <c r="I94" i="5" s="1"/>
  <c r="I121" i="5" s="1"/>
  <c r="H67" i="5"/>
  <c r="O66" i="5"/>
  <c r="O35" i="15" s="1"/>
  <c r="K66" i="5"/>
  <c r="S66" i="5" s="1"/>
  <c r="V66" i="5" s="1"/>
  <c r="J66" i="5"/>
  <c r="R66" i="5" s="1"/>
  <c r="T66" i="5" s="1"/>
  <c r="I66" i="5"/>
  <c r="H66" i="5"/>
  <c r="O65" i="5"/>
  <c r="S30" i="15" s="1"/>
  <c r="N59" i="15" s="1"/>
  <c r="K65" i="5"/>
  <c r="N92" i="5" s="1"/>
  <c r="K119" i="5" s="1"/>
  <c r="J65" i="5"/>
  <c r="M92" i="5" s="1"/>
  <c r="J119" i="5" s="1"/>
  <c r="I65" i="5"/>
  <c r="I92" i="5" s="1"/>
  <c r="I119" i="5" s="1"/>
  <c r="H65" i="5"/>
  <c r="R64" i="5"/>
  <c r="T64" i="5" s="1"/>
  <c r="O64" i="5"/>
  <c r="K64" i="5"/>
  <c r="S64" i="5" s="1"/>
  <c r="V64" i="5" s="1"/>
  <c r="J64" i="5"/>
  <c r="M91" i="5" s="1"/>
  <c r="J118" i="5" s="1"/>
  <c r="I64" i="5"/>
  <c r="I91" i="5" s="1"/>
  <c r="I118" i="5" s="1"/>
  <c r="H64" i="5"/>
  <c r="S63" i="5"/>
  <c r="V63" i="5" s="1"/>
  <c r="O63" i="5"/>
  <c r="P24" i="15" s="1"/>
  <c r="K63" i="5"/>
  <c r="N90" i="5" s="1"/>
  <c r="K117" i="5" s="1"/>
  <c r="J63" i="5"/>
  <c r="R63" i="5" s="1"/>
  <c r="T63" i="5" s="1"/>
  <c r="I63" i="5"/>
  <c r="I90" i="5" s="1"/>
  <c r="I117" i="5" s="1"/>
  <c r="H63" i="5"/>
  <c r="O62" i="5"/>
  <c r="I62" i="5"/>
  <c r="I89" i="5" s="1"/>
  <c r="I116" i="5" s="1"/>
  <c r="H62" i="5"/>
  <c r="S61" i="5"/>
  <c r="V61" i="5" s="1"/>
  <c r="O61" i="5"/>
  <c r="M32" i="15" s="1"/>
  <c r="K61" i="5"/>
  <c r="N88" i="5" s="1"/>
  <c r="K115" i="5" s="1"/>
  <c r="J61" i="5"/>
  <c r="R61" i="5" s="1"/>
  <c r="T61" i="5" s="1"/>
  <c r="I61" i="5"/>
  <c r="I88" i="5" s="1"/>
  <c r="I115" i="5" s="1"/>
  <c r="H61" i="5"/>
  <c r="O60" i="5"/>
  <c r="M17" i="15" s="1"/>
  <c r="K60" i="5"/>
  <c r="S60" i="5" s="1"/>
  <c r="V60" i="5" s="1"/>
  <c r="J60" i="5"/>
  <c r="M87" i="5" s="1"/>
  <c r="J114" i="5" s="1"/>
  <c r="I60" i="5"/>
  <c r="I87" i="5" s="1"/>
  <c r="I114" i="5" s="1"/>
  <c r="H60" i="5"/>
  <c r="O59" i="5"/>
  <c r="L27" i="15" s="1"/>
  <c r="I59" i="5"/>
  <c r="I86" i="5" s="1"/>
  <c r="I113" i="5" s="1"/>
  <c r="H59" i="5"/>
  <c r="S58" i="5"/>
  <c r="V58" i="5" s="1"/>
  <c r="R58" i="5"/>
  <c r="T58" i="5" s="1"/>
  <c r="O58" i="5"/>
  <c r="I27" i="15" s="1"/>
  <c r="K58" i="5"/>
  <c r="N85" i="5" s="1"/>
  <c r="K112" i="5" s="1"/>
  <c r="J58" i="5"/>
  <c r="M85" i="5" s="1"/>
  <c r="J112" i="5" s="1"/>
  <c r="I58" i="5"/>
  <c r="I85" i="5" s="1"/>
  <c r="I112" i="5" s="1"/>
  <c r="H58" i="5"/>
  <c r="AB57" i="5"/>
  <c r="T57" i="5"/>
  <c r="R57" i="5"/>
  <c r="O57" i="5"/>
  <c r="C30" i="15" s="1"/>
  <c r="N57" i="15" s="1"/>
  <c r="K57" i="5"/>
  <c r="N84" i="5" s="1"/>
  <c r="K111" i="5" s="1"/>
  <c r="J57" i="5"/>
  <c r="M84" i="5" s="1"/>
  <c r="J111" i="5" s="1"/>
  <c r="I57" i="5"/>
  <c r="I84" i="5" s="1"/>
  <c r="I111" i="5" s="1"/>
  <c r="H57" i="5"/>
  <c r="O56" i="5"/>
  <c r="J58" i="15" s="1"/>
  <c r="I56" i="5"/>
  <c r="I83" i="5" s="1"/>
  <c r="I110" i="5" s="1"/>
  <c r="H56" i="5"/>
  <c r="D56" i="5"/>
  <c r="G56" i="5" s="1"/>
  <c r="T55" i="5"/>
  <c r="R55" i="5"/>
  <c r="O55" i="5"/>
  <c r="D18" i="15" s="1"/>
  <c r="K55" i="5"/>
  <c r="F56" i="5" s="1"/>
  <c r="K56" i="5" s="1"/>
  <c r="J55" i="5"/>
  <c r="I55" i="5"/>
  <c r="I82" i="5" s="1"/>
  <c r="I109" i="5" s="1"/>
  <c r="H55" i="5"/>
  <c r="V54" i="5"/>
  <c r="S54" i="5"/>
  <c r="O54" i="5"/>
  <c r="K22" i="15" s="1"/>
  <c r="K54" i="5"/>
  <c r="N81" i="5" s="1"/>
  <c r="K108" i="5" s="1"/>
  <c r="J54" i="5"/>
  <c r="M81" i="5" s="1"/>
  <c r="J108" i="5" s="1"/>
  <c r="I54" i="5"/>
  <c r="I81" i="5" s="1"/>
  <c r="I108" i="5" s="1"/>
  <c r="H54" i="5"/>
  <c r="O53" i="5"/>
  <c r="I53" i="5"/>
  <c r="I80" i="5" s="1"/>
  <c r="I107" i="5" s="1"/>
  <c r="H53" i="5"/>
  <c r="O52" i="5"/>
  <c r="J13" i="15" s="1"/>
  <c r="I52" i="5"/>
  <c r="I79" i="5" s="1"/>
  <c r="I106" i="5" s="1"/>
  <c r="H52" i="5"/>
  <c r="R51" i="5"/>
  <c r="T51" i="5" s="1"/>
  <c r="O51" i="5"/>
  <c r="K51" i="5"/>
  <c r="N78" i="5" s="1"/>
  <c r="K105" i="5" s="1"/>
  <c r="I51" i="5"/>
  <c r="I78" i="5" s="1"/>
  <c r="I105" i="5" s="1"/>
  <c r="H51" i="5"/>
  <c r="O50" i="5"/>
  <c r="H14" i="15" s="1"/>
  <c r="I50" i="5"/>
  <c r="I77" i="5" s="1"/>
  <c r="I104" i="5" s="1"/>
  <c r="H50" i="5"/>
  <c r="O49" i="5"/>
  <c r="I49" i="5"/>
  <c r="I76" i="5" s="1"/>
  <c r="I103" i="5" s="1"/>
  <c r="H49" i="5"/>
  <c r="S48" i="5"/>
  <c r="V48" i="5" s="1"/>
  <c r="R48" i="5"/>
  <c r="T48" i="5" s="1"/>
  <c r="O48" i="5"/>
  <c r="C10" i="15" s="1"/>
  <c r="N56" i="15" s="1"/>
  <c r="N61" i="15" s="1"/>
  <c r="K48" i="5"/>
  <c r="N75" i="5" s="1"/>
  <c r="K102" i="5" s="1"/>
  <c r="J48" i="5"/>
  <c r="M75" i="5" s="1"/>
  <c r="J102" i="5" s="1"/>
  <c r="I48" i="5"/>
  <c r="I75" i="5" s="1"/>
  <c r="I102" i="5" s="1"/>
  <c r="H48" i="5"/>
  <c r="S47" i="5"/>
  <c r="V47" i="5" s="1"/>
  <c r="O47" i="5"/>
  <c r="F8" i="15" s="1"/>
  <c r="K47" i="5"/>
  <c r="N74" i="5" s="1"/>
  <c r="K101" i="5" s="1"/>
  <c r="J47" i="5"/>
  <c r="R47" i="5" s="1"/>
  <c r="T47" i="5" s="1"/>
  <c r="I47" i="5"/>
  <c r="I74" i="5" s="1"/>
  <c r="I101" i="5" s="1"/>
  <c r="H47" i="5"/>
  <c r="T46" i="5"/>
  <c r="R46" i="5"/>
  <c r="O46" i="5"/>
  <c r="I8" i="15" s="1"/>
  <c r="G56" i="15" s="1"/>
  <c r="G61" i="15" s="1"/>
  <c r="K46" i="5"/>
  <c r="N73" i="5" s="1"/>
  <c r="K100" i="5" s="1"/>
  <c r="J46" i="5"/>
  <c r="M73" i="5" s="1"/>
  <c r="J100" i="5" s="1"/>
  <c r="AB58" i="5" s="1"/>
  <c r="I46" i="5"/>
  <c r="I73" i="5" s="1"/>
  <c r="I100" i="5" s="1"/>
  <c r="H46" i="5"/>
  <c r="AC55" i="5"/>
  <c r="AB55" i="5"/>
  <c r="AC54" i="5"/>
  <c r="AB54" i="5"/>
  <c r="AC53" i="5"/>
  <c r="AB53" i="5"/>
  <c r="AC52" i="5"/>
  <c r="AB52" i="5"/>
  <c r="AC51" i="5"/>
  <c r="AB51" i="5"/>
  <c r="AC50" i="5"/>
  <c r="AB50" i="5"/>
  <c r="AC49" i="5"/>
  <c r="AB49" i="5"/>
  <c r="AC48" i="5"/>
  <c r="AB48" i="5"/>
  <c r="AC47" i="5"/>
  <c r="AB47" i="5"/>
  <c r="AC46" i="5"/>
  <c r="AB46" i="5"/>
  <c r="AC45" i="5"/>
  <c r="AB45" i="5" a="1"/>
  <c r="AB45" i="5"/>
  <c r="T45" i="5"/>
  <c r="AH42" i="5"/>
  <c r="AG42" i="5"/>
  <c r="AH41" i="5"/>
  <c r="AG41" i="5"/>
  <c r="AH40" i="5"/>
  <c r="AG40" i="5"/>
  <c r="AH39" i="5"/>
  <c r="AG39" i="5"/>
  <c r="AH38" i="5"/>
  <c r="AG38" i="5"/>
  <c r="AH37" i="5"/>
  <c r="AG37" i="5"/>
  <c r="AH36" i="5"/>
  <c r="AG36" i="5"/>
  <c r="AH35" i="5"/>
  <c r="AG35" i="5"/>
  <c r="AH34" i="5"/>
  <c r="AG34" i="5"/>
  <c r="AH33" i="5"/>
  <c r="AG33" i="5"/>
  <c r="AH32" i="5"/>
  <c r="AG32" i="5"/>
  <c r="AH31" i="5"/>
  <c r="AG31" i="5"/>
  <c r="AH30" i="5"/>
  <c r="AG30" i="5"/>
  <c r="AH29" i="5"/>
  <c r="AG29" i="5"/>
  <c r="AH28" i="5"/>
  <c r="AG28" i="5"/>
  <c r="AH27" i="5"/>
  <c r="AG27" i="5"/>
  <c r="AH26" i="5"/>
  <c r="AG26" i="5"/>
  <c r="AH25" i="5"/>
  <c r="AG25" i="5"/>
  <c r="AH24" i="5"/>
  <c r="AG24" i="5"/>
  <c r="AH23" i="5"/>
  <c r="AG23" i="5"/>
  <c r="AG22" i="5"/>
  <c r="AH21" i="5"/>
  <c r="AG21" i="5"/>
  <c r="AH20" i="5"/>
  <c r="AG20" i="5"/>
  <c r="AH19" i="5"/>
  <c r="AG19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 a="1"/>
  <c r="W3" i="5"/>
  <c r="I22" i="3"/>
  <c r="G22" i="3"/>
  <c r="H22" i="3" s="1"/>
  <c r="F22" i="3"/>
  <c r="E22" i="3"/>
  <c r="D22" i="3"/>
  <c r="C22" i="3"/>
  <c r="F21" i="3"/>
  <c r="D21" i="3"/>
  <c r="C21" i="3"/>
  <c r="I20" i="3"/>
  <c r="G20" i="3"/>
  <c r="H20" i="3" s="1"/>
  <c r="F20" i="3"/>
  <c r="E20" i="3"/>
  <c r="D20" i="3"/>
  <c r="C20" i="3"/>
  <c r="F19" i="3"/>
  <c r="D19" i="3"/>
  <c r="C19" i="3"/>
  <c r="I18" i="3"/>
  <c r="G18" i="3"/>
  <c r="H18" i="3" s="1"/>
  <c r="F18" i="3"/>
  <c r="E18" i="3"/>
  <c r="D18" i="3"/>
  <c r="C18" i="3"/>
  <c r="F17" i="3"/>
  <c r="D17" i="3"/>
  <c r="C17" i="3"/>
  <c r="I16" i="3"/>
  <c r="G16" i="3"/>
  <c r="H16" i="3" s="1"/>
  <c r="F16" i="3"/>
  <c r="E16" i="3"/>
  <c r="D16" i="3"/>
  <c r="I15" i="3"/>
  <c r="G15" i="3"/>
  <c r="H15" i="3" s="1"/>
  <c r="F15" i="3"/>
  <c r="E15" i="3"/>
  <c r="D15" i="3"/>
  <c r="I14" i="3"/>
  <c r="G14" i="3"/>
  <c r="H14" i="3" s="1"/>
  <c r="F14" i="3"/>
  <c r="E14" i="3"/>
  <c r="D14" i="3"/>
  <c r="C14" i="3"/>
  <c r="F13" i="3"/>
  <c r="D13" i="3"/>
  <c r="C13" i="3"/>
  <c r="I12" i="3"/>
  <c r="G12" i="3"/>
  <c r="H12" i="3" s="1"/>
  <c r="F12" i="3"/>
  <c r="E12" i="3"/>
  <c r="D12" i="3"/>
  <c r="C12" i="3"/>
  <c r="F11" i="3"/>
  <c r="D11" i="3"/>
  <c r="C11" i="3"/>
  <c r="I10" i="3"/>
  <c r="G10" i="3"/>
  <c r="H10" i="3" s="1"/>
  <c r="F10" i="3"/>
  <c r="E10" i="3"/>
  <c r="D10" i="3"/>
  <c r="C10" i="3"/>
  <c r="F9" i="3"/>
  <c r="F67" i="5" s="1"/>
  <c r="K67" i="5" s="1"/>
  <c r="D9" i="3"/>
  <c r="F8" i="3"/>
  <c r="F62" i="5" s="1"/>
  <c r="K62" i="5" s="1"/>
  <c r="D8" i="3"/>
  <c r="F7" i="3"/>
  <c r="D7" i="3"/>
  <c r="F6" i="3"/>
  <c r="F53" i="5" s="1"/>
  <c r="D6" i="3"/>
  <c r="F5" i="3"/>
  <c r="F49" i="5" s="1"/>
  <c r="K49" i="5" s="1"/>
  <c r="D5" i="3"/>
  <c r="M13" i="17" l="1"/>
  <c r="M13" i="18"/>
  <c r="G10" i="17"/>
  <c r="G14" i="17" s="1"/>
  <c r="G10" i="18"/>
  <c r="G14" i="18" s="1"/>
  <c r="M10" i="17"/>
  <c r="O10" i="17" s="1"/>
  <c r="M10" i="18"/>
  <c r="N10" i="17"/>
  <c r="N10" i="18"/>
  <c r="H18" i="17"/>
  <c r="I18" i="17" s="1"/>
  <c r="H18" i="18"/>
  <c r="H17" i="17"/>
  <c r="I17" i="17" s="1"/>
  <c r="H17" i="18"/>
  <c r="H19" i="17"/>
  <c r="I19" i="17" s="1"/>
  <c r="H19" i="18"/>
  <c r="N16" i="17"/>
  <c r="N16" i="18"/>
  <c r="N12" i="17"/>
  <c r="N12" i="18"/>
  <c r="H16" i="17"/>
  <c r="H16" i="18"/>
  <c r="N13" i="17"/>
  <c r="N13" i="18"/>
  <c r="O13" i="18" s="1"/>
  <c r="H10" i="17"/>
  <c r="H14" i="17" s="1"/>
  <c r="H10" i="18"/>
  <c r="N11" i="17"/>
  <c r="N11" i="18"/>
  <c r="H20" i="17"/>
  <c r="I20" i="17" s="1"/>
  <c r="H20" i="18"/>
  <c r="O13" i="17"/>
  <c r="O16" i="17"/>
  <c r="N17" i="17"/>
  <c r="O17" i="17" s="1"/>
  <c r="H21" i="17"/>
  <c r="I16" i="17"/>
  <c r="I21" i="17" s="1"/>
  <c r="N76" i="5"/>
  <c r="K103" i="5" s="1"/>
  <c r="S49" i="5"/>
  <c r="V49" i="5" s="1"/>
  <c r="D62" i="5"/>
  <c r="G8" i="3"/>
  <c r="I8" i="3"/>
  <c r="E8" i="3"/>
  <c r="Q15" i="15"/>
  <c r="I7" i="3"/>
  <c r="E7" i="3"/>
  <c r="E56" i="5" s="1"/>
  <c r="J56" i="5" s="1"/>
  <c r="G7" i="3"/>
  <c r="G11" i="3"/>
  <c r="H11" i="3" s="1"/>
  <c r="I11" i="3"/>
  <c r="E11" i="3"/>
  <c r="I19" i="3"/>
  <c r="E19" i="3"/>
  <c r="G19" i="3"/>
  <c r="H19" i="3" s="1"/>
  <c r="S56" i="5"/>
  <c r="V56" i="5" s="1"/>
  <c r="N83" i="5"/>
  <c r="K110" i="5" s="1"/>
  <c r="Q9" i="15"/>
  <c r="S67" i="5"/>
  <c r="V67" i="5" s="1"/>
  <c r="N94" i="5"/>
  <c r="K121" i="5" s="1"/>
  <c r="S62" i="5"/>
  <c r="V62" i="5" s="1"/>
  <c r="N89" i="5"/>
  <c r="K116" i="5" s="1"/>
  <c r="G6" i="3"/>
  <c r="D53" i="5"/>
  <c r="G53" i="5" s="1"/>
  <c r="I6" i="3"/>
  <c r="E6" i="3"/>
  <c r="E53" i="5" s="1"/>
  <c r="J53" i="5" s="1"/>
  <c r="D49" i="5"/>
  <c r="G49" i="5" s="1"/>
  <c r="J56" i="15" s="1"/>
  <c r="J61" i="15" s="1"/>
  <c r="N63" i="15" s="1"/>
  <c r="I5" i="3"/>
  <c r="E5" i="3"/>
  <c r="E49" i="5" s="1"/>
  <c r="J49" i="5" s="1"/>
  <c r="G5" i="3"/>
  <c r="D67" i="5"/>
  <c r="G67" i="5" s="1"/>
  <c r="J60" i="15" s="1"/>
  <c r="I9" i="3"/>
  <c r="E9" i="3"/>
  <c r="E67" i="5" s="1"/>
  <c r="J67" i="5" s="1"/>
  <c r="G9" i="3"/>
  <c r="I13" i="3"/>
  <c r="E13" i="3"/>
  <c r="G13" i="3"/>
  <c r="H13" i="3" s="1"/>
  <c r="G17" i="3"/>
  <c r="H17" i="3" s="1"/>
  <c r="I17" i="3"/>
  <c r="E17" i="3"/>
  <c r="G21" i="3"/>
  <c r="H21" i="3" s="1"/>
  <c r="I21" i="3"/>
  <c r="E21" i="3"/>
  <c r="J57" i="15"/>
  <c r="Q12" i="15"/>
  <c r="N50" i="15"/>
  <c r="AH22" i="5"/>
  <c r="J50" i="5"/>
  <c r="K50" i="5" s="1"/>
  <c r="S51" i="5"/>
  <c r="V51" i="5" s="1"/>
  <c r="R54" i="5"/>
  <c r="T54" i="5" s="1"/>
  <c r="M74" i="5"/>
  <c r="J101" i="5" s="1"/>
  <c r="N87" i="5"/>
  <c r="K114" i="5" s="1"/>
  <c r="M90" i="5"/>
  <c r="J117" i="5" s="1"/>
  <c r="N95" i="5"/>
  <c r="K122" i="5" s="1"/>
  <c r="J19" i="15"/>
  <c r="J46" i="15" s="1"/>
  <c r="J86" i="13"/>
  <c r="R65" i="5"/>
  <c r="T65" i="5" s="1"/>
  <c r="N82" i="5"/>
  <c r="K109" i="5" s="1"/>
  <c r="M93" i="5"/>
  <c r="J120" i="5" s="1"/>
  <c r="I32" i="15"/>
  <c r="K50" i="13"/>
  <c r="S46" i="5"/>
  <c r="V46" i="5" s="1"/>
  <c r="V45" i="5" s="1"/>
  <c r="AE44" i="5" s="1"/>
  <c r="S55" i="5"/>
  <c r="V55" i="5" s="1"/>
  <c r="S57" i="5"/>
  <c r="V57" i="5" s="1"/>
  <c r="J59" i="5"/>
  <c r="R60" i="5"/>
  <c r="T60" i="5" s="1"/>
  <c r="S65" i="5"/>
  <c r="V65" i="5" s="1"/>
  <c r="R68" i="5"/>
  <c r="T68" i="5" s="1"/>
  <c r="M88" i="5"/>
  <c r="J115" i="5" s="1"/>
  <c r="N93" i="5"/>
  <c r="K120" i="5" s="1"/>
  <c r="M96" i="5"/>
  <c r="J123" i="5" s="1"/>
  <c r="E7" i="15"/>
  <c r="J45" i="15" s="1"/>
  <c r="J50" i="15" s="1"/>
  <c r="N52" i="15" s="1"/>
  <c r="G88" i="13"/>
  <c r="J87" i="13"/>
  <c r="G86" i="13"/>
  <c r="J95" i="13"/>
  <c r="K59" i="5"/>
  <c r="E93" i="13"/>
  <c r="J93" i="13" s="1"/>
  <c r="M93" i="13" s="1"/>
  <c r="L36" i="13"/>
  <c r="J90" i="13"/>
  <c r="F38" i="13"/>
  <c r="E91" i="13" s="1"/>
  <c r="F37" i="13"/>
  <c r="J65" i="13"/>
  <c r="J59" i="13"/>
  <c r="P32" i="13"/>
  <c r="G95" i="13"/>
  <c r="K95" i="13" s="1"/>
  <c r="G19" i="18" s="1"/>
  <c r="G94" i="13"/>
  <c r="K94" i="13" s="1"/>
  <c r="U52" i="13"/>
  <c r="AA30" i="13"/>
  <c r="Y37" i="13" s="1"/>
  <c r="K87" i="13"/>
  <c r="G20" i="18" s="1"/>
  <c r="I10" i="17" l="1"/>
  <c r="I14" i="17" s="1"/>
  <c r="M12" i="17"/>
  <c r="O12" i="17" s="1"/>
  <c r="M12" i="18"/>
  <c r="O12" i="18" s="1"/>
  <c r="I20" i="18"/>
  <c r="M94" i="13"/>
  <c r="Q94" i="13" s="1"/>
  <c r="G16" i="18"/>
  <c r="I16" i="18" s="1"/>
  <c r="M11" i="17"/>
  <c r="M11" i="18"/>
  <c r="M14" i="18" s="1"/>
  <c r="N14" i="18" s="1"/>
  <c r="I19" i="18"/>
  <c r="H14" i="18"/>
  <c r="I10" i="18"/>
  <c r="I14" i="18" s="1"/>
  <c r="O16" i="18"/>
  <c r="N17" i="18"/>
  <c r="O17" i="18" s="1"/>
  <c r="O10" i="18"/>
  <c r="M95" i="13"/>
  <c r="Q95" i="13" s="1"/>
  <c r="V28" i="13"/>
  <c r="V30" i="13" s="1"/>
  <c r="Y39" i="13"/>
  <c r="N77" i="5"/>
  <c r="K104" i="5" s="1"/>
  <c r="K52" i="5"/>
  <c r="S50" i="5"/>
  <c r="V50" i="5" s="1"/>
  <c r="M87" i="13"/>
  <c r="Q87" i="13" s="1"/>
  <c r="E99" i="13"/>
  <c r="N11" i="5"/>
  <c r="H6" i="3"/>
  <c r="P53" i="5" s="1"/>
  <c r="M14" i="5"/>
  <c r="H7" i="3"/>
  <c r="P56" i="5" s="1"/>
  <c r="Q20" i="5"/>
  <c r="H8" i="3"/>
  <c r="P62" i="5" s="1"/>
  <c r="L37" i="13"/>
  <c r="L38" i="13" s="1"/>
  <c r="Q93" i="13"/>
  <c r="S59" i="5"/>
  <c r="V59" i="5" s="1"/>
  <c r="N86" i="5"/>
  <c r="K113" i="5" s="1"/>
  <c r="R59" i="5"/>
  <c r="T59" i="5" s="1"/>
  <c r="M86" i="5"/>
  <c r="J113" i="5" s="1"/>
  <c r="J99" i="13"/>
  <c r="T25" i="5"/>
  <c r="H9" i="3"/>
  <c r="P67" i="5" s="1"/>
  <c r="J7" i="5"/>
  <c r="H5" i="3"/>
  <c r="P49" i="5" s="1"/>
  <c r="R53" i="5"/>
  <c r="T53" i="5" s="1"/>
  <c r="K53" i="5"/>
  <c r="M80" i="5"/>
  <c r="J107" i="5" s="1"/>
  <c r="Q53" i="5"/>
  <c r="M83" i="5"/>
  <c r="J110" i="5" s="1"/>
  <c r="Q56" i="5"/>
  <c r="R56" i="5"/>
  <c r="T56" i="5" s="1"/>
  <c r="G62" i="5"/>
  <c r="J59" i="15" s="1"/>
  <c r="E62" i="5"/>
  <c r="J62" i="5" s="1"/>
  <c r="R50" i="5"/>
  <c r="T50" i="5" s="1"/>
  <c r="J52" i="5"/>
  <c r="M77" i="5"/>
  <c r="J104" i="5" s="1"/>
  <c r="R67" i="5"/>
  <c r="T67" i="5" s="1"/>
  <c r="M94" i="5"/>
  <c r="J121" i="5" s="1"/>
  <c r="Q67" i="5"/>
  <c r="M76" i="5"/>
  <c r="J103" i="5" s="1"/>
  <c r="R49" i="5"/>
  <c r="T49" i="5" s="1"/>
  <c r="Q49" i="5"/>
  <c r="K86" i="13"/>
  <c r="G18" i="18" s="1"/>
  <c r="I18" i="18" s="1"/>
  <c r="G99" i="13"/>
  <c r="O11" i="17" l="1"/>
  <c r="M14" i="17"/>
  <c r="N14" i="17" s="1"/>
  <c r="O11" i="18"/>
  <c r="O14" i="18"/>
  <c r="J36" i="18"/>
  <c r="R62" i="5"/>
  <c r="T62" i="5" s="1"/>
  <c r="M89" i="5"/>
  <c r="J116" i="5" s="1"/>
  <c r="Q62" i="5"/>
  <c r="M79" i="5"/>
  <c r="J106" i="5" s="1"/>
  <c r="R52" i="5"/>
  <c r="T52" i="5" s="1"/>
  <c r="K88" i="13"/>
  <c r="S52" i="5"/>
  <c r="V52" i="5" s="1"/>
  <c r="N79" i="5"/>
  <c r="K106" i="5" s="1"/>
  <c r="N80" i="5"/>
  <c r="K107" i="5" s="1"/>
  <c r="S53" i="5"/>
  <c r="V53" i="5" s="1"/>
  <c r="M86" i="13"/>
  <c r="J36" i="17" l="1"/>
  <c r="O14" i="17"/>
  <c r="M88" i="13"/>
  <c r="Q88" i="13" s="1"/>
  <c r="G17" i="18"/>
  <c r="Q86" i="13"/>
  <c r="O99" i="13"/>
  <c r="O100" i="13"/>
  <c r="K99" i="13"/>
  <c r="I17" i="18" l="1"/>
  <c r="I21" i="18" s="1"/>
  <c r="H21" i="18"/>
  <c r="G21" i="18"/>
  <c r="Q99" i="13"/>
  <c r="Q100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  <comment ref="D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6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C15" authorId="0" shapeId="0" xr:uid="{9D6D3721-62B9-2B43-9789-077C11EDB93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G15" authorId="0" shapeId="0" xr:uid="{DB951791-D66A-984D-AB35-BE0F8DE13DA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R15" authorId="0" shapeId="0" xr:uid="{10107B1A-39B9-364A-94D3-AF3279AF648D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C27" authorId="0" shapeId="0" xr:uid="{EE6B7C01-97B5-2F4B-AE8E-6785D00A234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G27" authorId="0" shapeId="0" xr:uid="{E454761D-FD6C-864C-8A44-31C8B3AC69E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R27" authorId="0" shapeId="0" xr:uid="{758BA92C-AEC4-834C-A5C4-700A35DA275C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C33" authorId="0" shapeId="0" xr:uid="{5D2D3F66-FAED-1848-A72D-4D363AEC8A09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  <comment ref="G33" authorId="0" shapeId="0" xr:uid="{4A47A1EB-3D7D-D042-8744-9384564DA41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  <comment ref="R33" authorId="0" shapeId="0" xr:uid="{899DCE53-2FA8-6644-9D09-2906FB1590E1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<sst xmlns="http://schemas.openxmlformats.org/spreadsheetml/2006/main" count="558" uniqueCount="245">
  <si>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</si>
  <si>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</si>
  <si>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</si>
  <si>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</si>
  <si>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</si>
  <si>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</si>
  <si>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</si>
  <si>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</si>
  <si>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Stock P40</t>
  </si>
  <si>
    <t>%FeT</t>
  </si>
  <si>
    <t>TMF</t>
  </si>
  <si>
    <t>Delta Stock P40</t>
  </si>
  <si>
    <t>Delta Stock Pila Intermedia</t>
  </si>
  <si>
    <t>Delta Stock Pellet Feed</t>
  </si>
  <si>
    <t>Delta Stock Finos Huasco</t>
  </si>
  <si>
    <t>Delta Stock Pellet Básico</t>
  </si>
  <si>
    <t xml:space="preserve"> 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</si>
  <si>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</si>
  <si>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</si>
  <si>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</si>
  <si>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</si>
  <si>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</si>
  <si>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</si>
  <si>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</si>
  <si>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</si>
  <si>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</si>
  <si>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</si>
  <si>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</si>
  <si>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</si>
  <si>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</si>
  <si>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Delta Stock Silos Molienda</t>
  </si>
  <si>
    <t>Delta Stock Pila Emergencia</t>
  </si>
  <si>
    <t>Delta Stock Sinter Feed</t>
  </si>
  <si>
    <t>Delta Stock Pellet Chip</t>
  </si>
  <si>
    <t>TMS</t>
  </si>
  <si>
    <t>Delta (FINAL - INI)</t>
  </si>
  <si>
    <t>ABS</t>
  </si>
  <si>
    <t>%Fe T</t>
  </si>
  <si>
    <t>Delta Stock Pilas Prec Planta Pellet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</si>
  <si>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</si>
  <si>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</si>
  <si>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</si>
  <si>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</si>
  <si>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</si>
  <si>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</si>
  <si>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</si>
  <si>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</si>
  <si>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</si>
  <si>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</si>
  <si>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</si>
  <si>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</si>
  <si>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Nodo Alim Planta Rechazo</t>
  </si>
  <si>
    <t>Alimentación Planta Rechazo</t>
  </si>
  <si>
    <t>Func Obj</t>
  </si>
  <si>
    <t>Balance de Nodos</t>
  </si>
  <si>
    <t>Delta TK Inventarios</t>
  </si>
  <si>
    <t>total de rechazo</t>
  </si>
  <si>
    <t>Max Var Ton</t>
  </si>
  <si>
    <t>Max Var  Ley</t>
  </si>
  <si>
    <t>I</t>
  </si>
  <si>
    <t>% Incertidumbre</t>
  </si>
  <si>
    <t>E</t>
  </si>
  <si>
    <t>Inv</t>
  </si>
  <si>
    <t>Venta</t>
  </si>
  <si>
    <t>Pérd</t>
  </si>
  <si>
    <t>Produc</t>
  </si>
  <si>
    <t>Delta Stock Pila Chunk</t>
  </si>
  <si>
    <t>Delta Stock Pila Chip Fresco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</si>
  <si>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</si>
  <si>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</si>
  <si>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</si>
  <si>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</si>
  <si>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</si>
  <si>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</si>
  <si>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</si>
  <si>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</si>
  <si>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STOCK RECHAZO</t>
  </si>
  <si>
    <t>STOCK P-40</t>
  </si>
  <si>
    <t>VENTAS DESDE ACOPIO MINA</t>
  </si>
  <si>
    <t>VENTAS DE STOCK PRECONC</t>
  </si>
  <si>
    <t>VENTA DESDE STOC P4O</t>
  </si>
  <si>
    <t>RECHAZO FINAL</t>
  </si>
  <si>
    <t>VARIACIONES DE INVENTARIOS</t>
  </si>
  <si>
    <t xml:space="preserve">VAR NETA </t>
  </si>
  <si>
    <t>TOTAL ENTRADAS</t>
  </si>
  <si>
    <t>TOTAL SALIDAS</t>
  </si>
  <si>
    <t>A PLANTA DE PELLETS</t>
  </si>
  <si>
    <t>ENTRADAS - VAR INVENTARIO - SALIDAS</t>
  </si>
  <si>
    <t>BALANCE GLOBAL MASA</t>
  </si>
  <si>
    <t>BALANCE GLOBAL FINO</t>
  </si>
  <si>
    <t>Producción Planta Rechazo a Stock P40</t>
  </si>
  <si>
    <t>Pellets Básico</t>
  </si>
  <si>
    <t>Pellets Chips</t>
  </si>
  <si>
    <t>Pellets Feed</t>
  </si>
  <si>
    <t>Alimentación Silos</t>
  </si>
  <si>
    <t>Concentrado</t>
  </si>
  <si>
    <t>Recuperación en peso</t>
  </si>
  <si>
    <t>Colas</t>
  </si>
  <si>
    <t>Finos Huasco</t>
  </si>
  <si>
    <t>SAP INICIAL</t>
  </si>
  <si>
    <t>SAP FINAL</t>
  </si>
  <si>
    <t>PRODUCCIÓN BALANCE</t>
  </si>
  <si>
    <t>EMBARQUE</t>
  </si>
  <si>
    <t>Preconcentrado</t>
  </si>
  <si>
    <t>Sinter</t>
  </si>
  <si>
    <t>DIFERENCIA</t>
  </si>
  <si>
    <t>Planta Beneficio</t>
  </si>
  <si>
    <t>Rp</t>
  </si>
  <si>
    <t>Rm</t>
  </si>
  <si>
    <t>Planta Global</t>
  </si>
  <si>
    <t>Stock Prec a (o desde) Acopio Mina</t>
  </si>
  <si>
    <t>Costo</t>
  </si>
  <si>
    <t>Existencia Contable</t>
  </si>
  <si>
    <t>Granzas Cristales</t>
  </si>
  <si>
    <t>Granzas Algarrobo</t>
  </si>
  <si>
    <t>Granzas Cristales PP</t>
  </si>
  <si>
    <t>Delta Cubic</t>
  </si>
  <si>
    <t>AJUSTES</t>
  </si>
  <si>
    <t>CUBICACIÓN</t>
  </si>
  <si>
    <t>inventarios</t>
  </si>
  <si>
    <t>Producción Mes</t>
  </si>
  <si>
    <t>Embarque Mes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</si>
  <si>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</si>
  <si>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</si>
  <si>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</si>
  <si>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</si>
  <si>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</si>
  <si>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</si>
  <si>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</si>
  <si>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EMISARIO SUBMARINO</t>
  </si>
  <si>
    <t>Alimentación a TK  Inventarios</t>
  </si>
  <si>
    <t>Delta TK inventarios</t>
  </si>
  <si>
    <t>TK Inventario a Stock Derrames</t>
  </si>
  <si>
    <t>Alimentación Filtrado</t>
  </si>
  <si>
    <t xml:space="preserve">Alim Nodo Productos Filtrados  </t>
  </si>
  <si>
    <t>De filtros a Balling</t>
  </si>
  <si>
    <t>Filtrado a Stock Derrames</t>
  </si>
  <si>
    <t>Alim Pila Intermedia desde (de nodo post filtros)</t>
  </si>
  <si>
    <t>de Pila Intermedia a Balling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</si>
  <si>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</si>
  <si>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</si>
  <si>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</si>
  <si>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</si>
  <si>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</si>
  <si>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</si>
  <si>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</si>
  <si>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</si>
  <si>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</si>
  <si>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</si>
  <si>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</si>
  <si>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</si>
  <si>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</si>
  <si>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</si>
  <si>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</si>
  <si>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</si>
  <si>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</si>
  <si>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</si>
  <si>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</si>
  <si>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</si>
  <si>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</si>
  <si>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</si>
  <si>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</si>
  <si>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</si>
  <si>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</si>
  <si>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</si>
  <si>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</si>
  <si>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Traspaso de F Huasco a S Feed</t>
  </si>
  <si>
    <t>A embarque desde Stock Finos Huasco</t>
  </si>
  <si>
    <t>A embarque desde Stock Sinter Feed</t>
  </si>
  <si>
    <t>A embarque desde Stock Pellet Chip</t>
  </si>
  <si>
    <t>Total Embarcado</t>
  </si>
  <si>
    <t>Humedad</t>
  </si>
  <si>
    <r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</si>
  <si>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r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</si>
  <si>
    <t>Ingreso
31</t>
  </si>
  <si>
    <t>Salida
31</t>
  </si>
  <si>
    <t>RECUPERACIÓN METALÚRGICA</t>
  </si>
  <si>
    <t>RECUPERACIÓN EN PESO</t>
  </si>
  <si>
    <t>INDICADORES VALLE HUASCO</t>
  </si>
  <si>
    <t>TOTAL</t>
  </si>
  <si>
    <t>Pellet Chip en Cancha</t>
  </si>
  <si>
    <t>Pellet Producto en Cancha</t>
  </si>
  <si>
    <t>Finos Huasco en Cancha</t>
  </si>
  <si>
    <t>Pellet Feed en Cancha</t>
  </si>
  <si>
    <t>Sinter Feed en Cancha</t>
  </si>
  <si>
    <t>Finos Recuperados</t>
  </si>
  <si>
    <t>Preconcentrado en Cancha</t>
  </si>
  <si>
    <t>DIF</t>
  </si>
  <si>
    <t>SAP</t>
  </si>
  <si>
    <t>% FeT</t>
  </si>
  <si>
    <t>INVENTARIOS</t>
  </si>
  <si>
    <t>Pellet Chips</t>
  </si>
  <si>
    <t>Pellet Producto</t>
  </si>
  <si>
    <t>Pellet Feed</t>
  </si>
  <si>
    <t>Emisario Submarino</t>
  </si>
  <si>
    <t xml:space="preserve">Sinter Feed </t>
  </si>
  <si>
    <t xml:space="preserve">PÉRDIDAS </t>
  </si>
  <si>
    <t>EMBARQUES</t>
  </si>
  <si>
    <t>FL_000_501_03</t>
  </si>
  <si>
    <t>Sinter Feed hacia Planta de Pellets</t>
  </si>
  <si>
    <t>Pellet Chips desde Pila Emergencia</t>
  </si>
  <si>
    <t>Pellet Producto desde Pila Emergencia</t>
  </si>
  <si>
    <t>Finos hacia Molinos</t>
  </si>
  <si>
    <t>Preconcentrado hacia Molinos</t>
  </si>
  <si>
    <t>FL_218_501_01</t>
  </si>
  <si>
    <t>PRODUCCIÓN</t>
  </si>
  <si>
    <t>FINO</t>
  </si>
  <si>
    <t>LEY</t>
  </si>
  <si>
    <t>TONELAJE</t>
  </si>
  <si>
    <t>FECHA DE BALANCE</t>
  </si>
  <si>
    <t>REPORTE DE PLANTA DE PELLETS</t>
  </si>
  <si>
    <t>BALANCE METALÚRGICO - VALLE HUASCO</t>
  </si>
  <si>
    <t>Nombres</t>
  </si>
  <si>
    <t>FeT</t>
  </si>
  <si>
    <t>Flujos</t>
  </si>
  <si>
    <t>Mediciones</t>
  </si>
  <si>
    <t>Balance</t>
  </si>
  <si>
    <t>% Cambio relativo</t>
  </si>
  <si>
    <t>Max Var  FeT</t>
  </si>
  <si>
    <t>Re-Harneo a Stock Prec Planta Pellet</t>
  </si>
  <si>
    <t>Alimentación Silos de Molienda</t>
  </si>
  <si>
    <t>Limpiezas/Rechazos de Molienda a Planta Harneo</t>
  </si>
  <si>
    <t>Limpiezas de Filtrado a Planta Harneo</t>
  </si>
  <si>
    <t>Producción de Pellet Feed desde Pila Intermedia</t>
  </si>
  <si>
    <t>Pellet Feed en Camiones</t>
  </si>
  <si>
    <t>Producción de Pellet Feed por Correa 6 (Pesómetro)</t>
  </si>
  <si>
    <t>Embarque de Pellet Feed</t>
  </si>
  <si>
    <t xml:space="preserve">Stock Pellet Producto en de Pila Emergencia </t>
  </si>
  <si>
    <t>Producción de Pellet Chip por Correa 7304-1 (Pesómetro)</t>
  </si>
  <si>
    <t>Producción de Pellet Producto</t>
  </si>
  <si>
    <t>Producción de Pellet Producto por Correa 11 (Pesómetro)</t>
  </si>
  <si>
    <t>Embarque de Pellet Producto</t>
  </si>
  <si>
    <t>Intermedio Re harneo de derrames a Stock Pila de Emergencia</t>
  </si>
  <si>
    <t>Alimentación Total a Stock Finos Huasco</t>
  </si>
  <si>
    <t>Pellet Chip harneado a finos Huasco</t>
  </si>
  <si>
    <t>Producción de Finos Huasco</t>
  </si>
  <si>
    <t>Embarque de Finos Huasco</t>
  </si>
  <si>
    <t>Embarque de Sinter Feed</t>
  </si>
  <si>
    <t>Traspaso de  P Chip a P Básico</t>
  </si>
  <si>
    <t>Producc de Pellet Chip (desde reharneo Pchip) 100%</t>
  </si>
  <si>
    <t>Embarque de Pellet Chip</t>
  </si>
  <si>
    <t>Procesamiento de derrames en Planta Harneo</t>
  </si>
  <si>
    <t>Procesamiento de Chunk en Planta Harneo</t>
  </si>
  <si>
    <t>Alimentación Harnero Producto desde Pila Emergencia</t>
  </si>
  <si>
    <t>Procesamiento de Chip en Planta de Harneo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</si>
</sst>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.00_-;\-* #,##0.00_-;_-* &quot;-&quot;??_-;_-@_-"/>
    <numFmt numFmtId="165" formatCode="0.0%"/>
    <numFmt numFmtId="166" formatCode="#,##0.0"/>
    <numFmt numFmtId="167" formatCode="0.00000"/>
    <numFmt numFmtId="168" formatCode="#,##0_ ;\-#,##0\ "/>
    <numFmt numFmtId="169" formatCode="0.0"/>
    <numFmt numFmtId="170" formatCode="0_)"/>
    <numFmt numFmtId="171" formatCode="#,##0.0000000_ ;\-#,##0.0000000\ "/>
    <numFmt numFmtId="172" formatCode="#,##0.000_ ;\-#,##0.000\ "/>
    <numFmt numFmtId="173" formatCode="#,##0.00_ ;\-#,##0.00\ "/>
    <numFmt numFmtId="174" formatCode="#,##0.0_ ;\-#,##0.0\ "/>
    <numFmt numFmtId="175" formatCode="dd\ /\ mmmm\ /\ yyyy"/>
    <numFmt numFmtId="176" formatCode="0.000000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2"/>
      <name val="Calibri"/>
      <family val="2"/>
      <scheme val="minor"/>
    </font>
    <font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0" fillId="8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1" xfId="2" applyBorder="1" applyAlignment="1">
      <alignment horizontal="center"/>
    </xf>
    <xf numFmtId="0" fontId="0" fillId="0" borderId="0" xfId="0" applyAlignment="1">
      <alignment horizontal="right"/>
    </xf>
    <xf numFmtId="3" fontId="0" fillId="2" borderId="0" xfId="0" applyNumberFormat="1" applyFill="1"/>
    <xf numFmtId="0" fontId="0" fillId="0" borderId="7" xfId="0" applyBorder="1"/>
    <xf numFmtId="165" fontId="0" fillId="0" borderId="1" xfId="0" applyNumberFormat="1" applyBorder="1"/>
    <xf numFmtId="0" fontId="0" fillId="0" borderId="1" xfId="0" applyBorder="1"/>
    <xf numFmtId="0" fontId="0" fillId="0" borderId="12" xfId="0" applyBorder="1"/>
    <xf numFmtId="0" fontId="11" fillId="0" borderId="0" xfId="0" applyFont="1"/>
    <xf numFmtId="0" fontId="0" fillId="0" borderId="0" xfId="0" applyBorder="1"/>
    <xf numFmtId="0" fontId="1" fillId="0" borderId="1" xfId="2" applyBorder="1" applyAlignment="1">
      <alignment horizontal="center"/>
    </xf>
    <xf numFmtId="0" fontId="0" fillId="0" borderId="15" xfId="0" applyBorder="1"/>
    <xf numFmtId="0" fontId="0" fillId="0" borderId="0" xfId="0" applyFill="1" applyBorder="1"/>
    <xf numFmtId="0" fontId="8" fillId="6" borderId="14" xfId="0" applyFont="1" applyFill="1" applyBorder="1"/>
    <xf numFmtId="165" fontId="0" fillId="0" borderId="11" xfId="0" applyNumberFormat="1" applyBorder="1"/>
    <xf numFmtId="165" fontId="0" fillId="0" borderId="7" xfId="0" applyNumberFormat="1" applyBorder="1"/>
    <xf numFmtId="165" fontId="0" fillId="0" borderId="12" xfId="0" applyNumberFormat="1" applyBorder="1"/>
    <xf numFmtId="3" fontId="0" fillId="0" borderId="0" xfId="0" applyNumberFormat="1" applyAlignment="1">
      <alignment horizontal="center"/>
    </xf>
    <xf numFmtId="0" fontId="12" fillId="0" borderId="0" xfId="0" applyFont="1"/>
    <xf numFmtId="0" fontId="11" fillId="8" borderId="0" xfId="0" applyFont="1" applyFill="1"/>
    <xf numFmtId="0" fontId="0" fillId="9" borderId="11" xfId="0" applyFill="1" applyBorder="1" applyAlignment="1">
      <alignment horizontal="center"/>
    </xf>
    <xf numFmtId="0" fontId="0" fillId="8" borderId="1" xfId="0" applyFill="1" applyBorder="1"/>
    <xf numFmtId="10" fontId="0" fillId="0" borderId="1" xfId="0" applyNumberFormat="1" applyBorder="1"/>
    <xf numFmtId="0" fontId="11" fillId="8" borderId="1" xfId="0" applyFont="1" applyFill="1" applyBorder="1"/>
    <xf numFmtId="0" fontId="0" fillId="10" borderId="0" xfId="0" applyFill="1" applyAlignment="1">
      <alignment wrapText="1"/>
    </xf>
    <xf numFmtId="10" fontId="8" fillId="6" borderId="0" xfId="0" applyNumberFormat="1" applyFont="1" applyFill="1"/>
    <xf numFmtId="0" fontId="0" fillId="11" borderId="0" xfId="0" applyFill="1"/>
    <xf numFmtId="0" fontId="11" fillId="8" borderId="11" xfId="0" applyFont="1" applyFill="1" applyBorder="1"/>
    <xf numFmtId="0" fontId="8" fillId="6" borderId="16" xfId="0" applyFont="1" applyFill="1" applyBorder="1"/>
    <xf numFmtId="3" fontId="0" fillId="0" borderId="15" xfId="0" applyNumberFormat="1" applyBorder="1"/>
    <xf numFmtId="0" fontId="0" fillId="0" borderId="0" xfId="0" applyFont="1"/>
    <xf numFmtId="0" fontId="0" fillId="0" borderId="0" xfId="0" applyNumberFormat="1"/>
    <xf numFmtId="0" fontId="0" fillId="0" borderId="0" xfId="0" applyFill="1"/>
    <xf numFmtId="10" fontId="0" fillId="0" borderId="1" xfId="0" applyNumberFormat="1" applyFont="1" applyBorder="1"/>
    <xf numFmtId="3" fontId="0" fillId="0" borderId="1" xfId="0" applyNumberFormat="1" applyFont="1" applyBorder="1"/>
    <xf numFmtId="10" fontId="0" fillId="0" borderId="11" xfId="0" applyNumberFormat="1" applyFont="1" applyBorder="1"/>
    <xf numFmtId="10" fontId="0" fillId="0" borderId="7" xfId="0" applyNumberFormat="1" applyFont="1" applyBorder="1"/>
    <xf numFmtId="3" fontId="0" fillId="0" borderId="0" xfId="0" applyNumberFormat="1" applyFont="1"/>
    <xf numFmtId="3" fontId="0" fillId="0" borderId="11" xfId="0" applyNumberFormat="1" applyFont="1" applyBorder="1"/>
    <xf numFmtId="0" fontId="0" fillId="0" borderId="15" xfId="0" applyFont="1" applyBorder="1"/>
    <xf numFmtId="3" fontId="0" fillId="0" borderId="7" xfId="0" applyNumberFormat="1" applyFont="1" applyBorder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3" fontId="0" fillId="0" borderId="7" xfId="0" applyNumberFormat="1" applyFont="1" applyFill="1" applyBorder="1"/>
    <xf numFmtId="3" fontId="13" fillId="0" borderId="1" xfId="0" applyNumberFormat="1" applyFont="1" applyBorder="1"/>
    <xf numFmtId="10" fontId="13" fillId="0" borderId="1" xfId="0" applyNumberFormat="1" applyFont="1" applyBorder="1"/>
    <xf numFmtId="3" fontId="13" fillId="0" borderId="11" xfId="0" applyNumberFormat="1" applyFont="1" applyBorder="1"/>
    <xf numFmtId="10" fontId="13" fillId="0" borderId="11" xfId="0" applyNumberFormat="1" applyFont="1" applyBorder="1"/>
    <xf numFmtId="3" fontId="13" fillId="0" borderId="7" xfId="0" applyNumberFormat="1" applyFont="1" applyFill="1" applyBorder="1"/>
    <xf numFmtId="10" fontId="13" fillId="0" borderId="7" xfId="0" applyNumberFormat="1" applyFont="1" applyBorder="1"/>
    <xf numFmtId="0" fontId="0" fillId="5" borderId="0" xfId="0" applyFill="1"/>
    <xf numFmtId="0" fontId="9" fillId="0" borderId="0" xfId="0" applyFont="1"/>
    <xf numFmtId="3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/>
    <xf numFmtId="3" fontId="17" fillId="0" borderId="1" xfId="0" applyNumberFormat="1" applyFont="1" applyBorder="1"/>
    <xf numFmtId="0" fontId="10" fillId="0" borderId="2" xfId="0" applyFont="1" applyBorder="1" applyAlignment="1"/>
    <xf numFmtId="0" fontId="10" fillId="0" borderId="4" xfId="0" applyFont="1" applyBorder="1" applyAlignment="1"/>
    <xf numFmtId="3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/>
    <xf numFmtId="3" fontId="10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4" fillId="0" borderId="1" xfId="0" applyNumberFormat="1" applyFont="1" applyBorder="1" applyAlignment="1">
      <alignment horizontal="left" indent="1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7" fillId="0" borderId="0" xfId="0" applyNumberFormat="1" applyFont="1" applyBorder="1"/>
    <xf numFmtId="10" fontId="14" fillId="0" borderId="0" xfId="0" applyNumberFormat="1" applyFont="1" applyBorder="1"/>
    <xf numFmtId="3" fontId="15" fillId="0" borderId="0" xfId="0" applyNumberFormat="1" applyFont="1" applyBorder="1"/>
    <xf numFmtId="3" fontId="16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/>
    <xf numFmtId="3" fontId="15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center"/>
    </xf>
    <xf numFmtId="10" fontId="14" fillId="0" borderId="0" xfId="0" applyNumberFormat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3" fontId="0" fillId="0" borderId="19" xfId="0" applyNumberFormat="1" applyBorder="1"/>
    <xf numFmtId="0" fontId="0" fillId="0" borderId="20" xfId="0" applyBorder="1"/>
    <xf numFmtId="0" fontId="0" fillId="0" borderId="13" xfId="0" applyBorder="1"/>
    <xf numFmtId="0" fontId="0" fillId="0" borderId="21" xfId="0" applyBorder="1"/>
    <xf numFmtId="3" fontId="16" fillId="0" borderId="0" xfId="0" applyNumberFormat="1" applyFont="1" applyBorder="1" applyAlignment="1">
      <alignment horizontal="left" indent="2"/>
    </xf>
    <xf numFmtId="3" fontId="18" fillId="8" borderId="1" xfId="0" applyNumberFormat="1" applyFont="1" applyFill="1" applyBorder="1"/>
    <xf numFmtId="3" fontId="18" fillId="8" borderId="1" xfId="0" applyNumberFormat="1" applyFont="1" applyFill="1" applyBorder="1" applyAlignment="1">
      <alignment horizontal="center" vertical="center"/>
    </xf>
    <xf numFmtId="10" fontId="18" fillId="8" borderId="1" xfId="0" applyNumberFormat="1" applyFont="1" applyFill="1" applyBorder="1"/>
    <xf numFmtId="0" fontId="0" fillId="8" borderId="1" xfId="0" applyFill="1" applyBorder="1" applyAlignment="1">
      <alignment vertical="center"/>
    </xf>
    <xf numFmtId="0" fontId="0" fillId="6" borderId="1" xfId="0" applyFill="1" applyBorder="1"/>
    <xf numFmtId="3" fontId="18" fillId="6" borderId="1" xfId="0" applyNumberFormat="1" applyFont="1" applyFill="1" applyBorder="1"/>
    <xf numFmtId="3" fontId="18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/>
    <xf numFmtId="0" fontId="0" fillId="6" borderId="1" xfId="0" applyFill="1" applyBorder="1" applyAlignment="1">
      <alignment vertical="center"/>
    </xf>
    <xf numFmtId="0" fontId="19" fillId="8" borderId="1" xfId="0" applyFont="1" applyFill="1" applyBorder="1"/>
    <xf numFmtId="3" fontId="18" fillId="12" borderId="1" xfId="0" applyNumberFormat="1" applyFont="1" applyFill="1" applyBorder="1"/>
    <xf numFmtId="10" fontId="0" fillId="4" borderId="1" xfId="0" applyNumberFormat="1" applyFill="1" applyBorder="1"/>
    <xf numFmtId="0" fontId="21" fillId="13" borderId="1" xfId="0" applyFont="1" applyFill="1" applyBorder="1"/>
    <xf numFmtId="10" fontId="21" fillId="13" borderId="1" xfId="0" applyNumberFormat="1" applyFont="1" applyFill="1" applyBorder="1" applyAlignment="1">
      <alignment horizontal="center"/>
    </xf>
    <xf numFmtId="3" fontId="0" fillId="0" borderId="18" xfId="0" applyNumberFormat="1" applyBorder="1"/>
    <xf numFmtId="9" fontId="0" fillId="0" borderId="0" xfId="0" applyNumberFormat="1" applyBorder="1"/>
    <xf numFmtId="10" fontId="22" fillId="0" borderId="1" xfId="0" applyNumberFormat="1" applyFont="1" applyFill="1" applyBorder="1"/>
    <xf numFmtId="4" fontId="7" fillId="0" borderId="0" xfId="0" applyNumberFormat="1" applyFont="1" applyBorder="1"/>
    <xf numFmtId="10" fontId="0" fillId="0" borderId="0" xfId="0" applyNumberFormat="1" applyBorder="1"/>
    <xf numFmtId="0" fontId="0" fillId="0" borderId="0" xfId="0"/>
    <xf numFmtId="3" fontId="0" fillId="0" borderId="0" xfId="0" applyNumberFormat="1"/>
    <xf numFmtId="0" fontId="0" fillId="8" borderId="1" xfId="0" applyFill="1" applyBorder="1"/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/>
    </xf>
    <xf numFmtId="3" fontId="0" fillId="13" borderId="3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1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8" fillId="14" borderId="1" xfId="0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23" fillId="6" borderId="1" xfId="0" applyNumberFormat="1" applyFont="1" applyFill="1" applyBorder="1"/>
    <xf numFmtId="10" fontId="23" fillId="6" borderId="1" xfId="0" applyNumberFormat="1" applyFont="1" applyFill="1" applyBorder="1"/>
    <xf numFmtId="10" fontId="25" fillId="0" borderId="0" xfId="0" applyNumberFormat="1" applyFont="1" applyBorder="1" applyAlignment="1">
      <alignment horizontal="right"/>
    </xf>
    <xf numFmtId="0" fontId="7" fillId="0" borderId="0" xfId="0" applyFont="1" applyAlignment="1"/>
    <xf numFmtId="3" fontId="0" fillId="6" borderId="1" xfId="0" applyNumberFormat="1" applyFill="1" applyBorder="1"/>
    <xf numFmtId="1" fontId="0" fillId="0" borderId="0" xfId="0" applyNumberFormat="1"/>
    <xf numFmtId="165" fontId="26" fillId="0" borderId="0" xfId="0" applyNumberFormat="1" applyFont="1" applyBorder="1"/>
    <xf numFmtId="0" fontId="8" fillId="14" borderId="2" xfId="0" applyFont="1" applyFill="1" applyBorder="1" applyAlignment="1">
      <alignment horizontal="center" vertical="center" wrapText="1"/>
    </xf>
    <xf numFmtId="1" fontId="8" fillId="14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0" fontId="13" fillId="0" borderId="0" xfId="0" applyNumberFormat="1" applyFont="1" applyFill="1" applyBorder="1" applyProtection="1">
      <protection locked="0"/>
    </xf>
    <xf numFmtId="167" fontId="0" fillId="0" borderId="0" xfId="0" applyNumberFormat="1"/>
    <xf numFmtId="0" fontId="2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textRotation="45" wrapText="1"/>
    </xf>
    <xf numFmtId="0" fontId="0" fillId="13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10" fontId="8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0" fontId="0" fillId="0" borderId="0" xfId="0" applyNumberFormat="1" applyFont="1" applyFill="1" applyBorder="1"/>
    <xf numFmtId="10" fontId="7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right"/>
    </xf>
    <xf numFmtId="3" fontId="0" fillId="13" borderId="0" xfId="0" applyNumberFormat="1" applyFont="1" applyFill="1" applyBorder="1"/>
    <xf numFmtId="10" fontId="0" fillId="13" borderId="0" xfId="0" applyNumberFormat="1" applyFont="1" applyFill="1" applyBorder="1"/>
    <xf numFmtId="0" fontId="0" fillId="0" borderId="0" xfId="0" applyFont="1" applyBorder="1"/>
    <xf numFmtId="0" fontId="0" fillId="13" borderId="0" xfId="2" applyFont="1" applyFill="1" applyBorder="1" applyAlignment="1">
      <alignment horizontal="center"/>
    </xf>
    <xf numFmtId="0" fontId="29" fillId="13" borderId="0" xfId="0" applyFont="1" applyFill="1" applyBorder="1"/>
    <xf numFmtId="10" fontId="29" fillId="13" borderId="0" xfId="0" applyNumberFormat="1" applyFont="1" applyFill="1" applyBorder="1"/>
    <xf numFmtId="10" fontId="29" fillId="13" borderId="0" xfId="0" applyNumberFormat="1" applyFont="1" applyFill="1"/>
    <xf numFmtId="0" fontId="29" fillId="0" borderId="0" xfId="0" applyFont="1"/>
    <xf numFmtId="0" fontId="30" fillId="13" borderId="0" xfId="0" applyFont="1" applyFill="1" applyBorder="1"/>
    <xf numFmtId="0" fontId="30" fillId="13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/>
    <xf numFmtId="0" fontId="29" fillId="0" borderId="0" xfId="0" applyFont="1" applyFill="1"/>
    <xf numFmtId="3" fontId="29" fillId="13" borderId="0" xfId="0" applyNumberFormat="1" applyFont="1" applyFill="1" applyBorder="1"/>
    <xf numFmtId="165" fontId="29" fillId="13" borderId="0" xfId="0" applyNumberFormat="1" applyFont="1" applyFill="1" applyBorder="1"/>
    <xf numFmtId="3" fontId="31" fillId="13" borderId="0" xfId="0" applyNumberFormat="1" applyFont="1" applyFill="1" applyBorder="1" applyAlignment="1">
      <alignment horizontal="center" vertical="center"/>
    </xf>
    <xf numFmtId="0" fontId="29" fillId="13" borderId="0" xfId="2" applyFont="1" applyFill="1" applyBorder="1" applyAlignment="1">
      <alignment horizontal="center"/>
    </xf>
    <xf numFmtId="10" fontId="32" fillId="0" borderId="0" xfId="3" applyNumberFormat="1" applyFont="1"/>
    <xf numFmtId="0" fontId="32" fillId="0" borderId="21" xfId="4" applyFont="1" applyBorder="1"/>
    <xf numFmtId="0" fontId="32" fillId="0" borderId="13" xfId="4" applyFont="1" applyBorder="1"/>
    <xf numFmtId="0" fontId="32" fillId="0" borderId="20" xfId="4" applyFont="1" applyBorder="1"/>
    <xf numFmtId="0" fontId="32" fillId="0" borderId="19" xfId="4" applyFont="1" applyBorder="1"/>
    <xf numFmtId="2" fontId="32" fillId="0" borderId="0" xfId="6" applyNumberFormat="1" applyFont="1" applyAlignment="1">
      <alignment horizontal="center"/>
    </xf>
    <xf numFmtId="168" fontId="32" fillId="0" borderId="0" xfId="5" applyNumberFormat="1" applyFont="1" applyAlignment="1">
      <alignment horizontal="center"/>
    </xf>
    <xf numFmtId="169" fontId="32" fillId="0" borderId="0" xfId="4" applyNumberFormat="1" applyFont="1" applyAlignment="1">
      <alignment horizontal="center" vertical="center"/>
    </xf>
    <xf numFmtId="10" fontId="32" fillId="0" borderId="0" xfId="3" applyNumberFormat="1" applyFont="1" applyAlignment="1">
      <alignment horizontal="center"/>
    </xf>
    <xf numFmtId="9" fontId="32" fillId="0" borderId="0" xfId="3" applyFont="1" applyAlignment="1">
      <alignment horizontal="center"/>
    </xf>
    <xf numFmtId="0" fontId="32" fillId="0" borderId="18" xfId="4" applyFont="1" applyBorder="1"/>
    <xf numFmtId="2" fontId="32" fillId="13" borderId="0" xfId="6" applyNumberFormat="1" applyFont="1" applyFill="1" applyAlignment="1">
      <alignment horizontal="center"/>
    </xf>
    <xf numFmtId="168" fontId="32" fillId="13" borderId="0" xfId="5" applyNumberFormat="1" applyFont="1" applyFill="1" applyAlignment="1">
      <alignment horizontal="center"/>
    </xf>
    <xf numFmtId="9" fontId="32" fillId="13" borderId="0" xfId="3" applyFont="1" applyFill="1" applyAlignment="1">
      <alignment horizontal="center"/>
    </xf>
    <xf numFmtId="0" fontId="33" fillId="13" borderId="0" xfId="4" applyFont="1" applyFill="1" applyAlignment="1">
      <alignment horizontal="center"/>
    </xf>
    <xf numFmtId="9" fontId="33" fillId="13" borderId="0" xfId="3" applyFont="1" applyFill="1" applyAlignment="1">
      <alignment horizontal="center"/>
    </xf>
    <xf numFmtId="170" fontId="33" fillId="0" borderId="0" xfId="4" applyNumberFormat="1" applyFont="1" applyAlignment="1">
      <alignment horizontal="center" vertical="center"/>
    </xf>
    <xf numFmtId="3" fontId="33" fillId="0" borderId="0" xfId="4" applyNumberFormat="1" applyFont="1" applyAlignment="1">
      <alignment horizontal="right" vertical="center"/>
    </xf>
    <xf numFmtId="3" fontId="33" fillId="0" borderId="0" xfId="4" quotePrefix="1" applyNumberFormat="1" applyFont="1" applyAlignment="1">
      <alignment horizontal="right"/>
    </xf>
    <xf numFmtId="3" fontId="33" fillId="0" borderId="0" xfId="4" quotePrefix="1" applyNumberFormat="1" applyFont="1" applyAlignment="1">
      <alignment horizontal="right" vertical="center"/>
    </xf>
    <xf numFmtId="0" fontId="32" fillId="0" borderId="27" xfId="4" applyFont="1" applyBorder="1"/>
    <xf numFmtId="171" fontId="32" fillId="0" borderId="0" xfId="4" applyNumberFormat="1" applyFont="1"/>
    <xf numFmtId="168" fontId="36" fillId="0" borderId="0" xfId="5" applyNumberFormat="1" applyFont="1" applyAlignment="1">
      <alignment horizontal="center" vertical="center"/>
    </xf>
    <xf numFmtId="172" fontId="36" fillId="0" borderId="0" xfId="5" applyNumberFormat="1" applyFont="1" applyAlignment="1">
      <alignment horizontal="center" vertical="center"/>
    </xf>
    <xf numFmtId="0" fontId="36" fillId="0" borderId="0" xfId="4" applyFont="1" applyAlignment="1">
      <alignment vertical="center"/>
    </xf>
    <xf numFmtId="168" fontId="37" fillId="4" borderId="29" xfId="5" applyNumberFormat="1" applyFont="1" applyFill="1" applyBorder="1" applyAlignment="1">
      <alignment horizontal="center" vertical="center"/>
    </xf>
    <xf numFmtId="168" fontId="37" fillId="4" borderId="30" xfId="5" applyNumberFormat="1" applyFont="1" applyFill="1" applyBorder="1" applyAlignment="1">
      <alignment horizontal="center" vertical="center"/>
    </xf>
    <xf numFmtId="168" fontId="37" fillId="4" borderId="31" xfId="5" applyNumberFormat="1" applyFont="1" applyFill="1" applyBorder="1" applyAlignment="1">
      <alignment horizontal="center" vertical="center"/>
    </xf>
    <xf numFmtId="10" fontId="37" fillId="4" borderId="32" xfId="3" applyNumberFormat="1" applyFont="1" applyFill="1" applyBorder="1" applyAlignment="1">
      <alignment horizontal="center" vertical="center"/>
    </xf>
    <xf numFmtId="168" fontId="37" fillId="4" borderId="32" xfId="5" applyNumberFormat="1" applyFont="1" applyFill="1" applyBorder="1" applyAlignment="1">
      <alignment horizontal="center" vertical="center"/>
    </xf>
    <xf numFmtId="0" fontId="38" fillId="0" borderId="0" xfId="4" applyFont="1"/>
    <xf numFmtId="168" fontId="39" fillId="0" borderId="0" xfId="5" applyNumberFormat="1" applyFont="1" applyAlignment="1">
      <alignment horizontal="center" vertical="center"/>
    </xf>
    <xf numFmtId="173" fontId="39" fillId="0" borderId="0" xfId="5" applyNumberFormat="1" applyFont="1" applyAlignment="1">
      <alignment horizontal="center" vertical="center"/>
    </xf>
    <xf numFmtId="173" fontId="40" fillId="0" borderId="0" xfId="5" applyNumberFormat="1" applyFont="1" applyAlignment="1">
      <alignment horizontal="center" vertical="center"/>
    </xf>
    <xf numFmtId="169" fontId="39" fillId="0" borderId="0" xfId="0" applyNumberFormat="1" applyFont="1" applyAlignment="1">
      <alignment horizontal="center" vertical="center"/>
    </xf>
    <xf numFmtId="168" fontId="38" fillId="2" borderId="33" xfId="0" applyNumberFormat="1" applyFont="1" applyFill="1" applyBorder="1" applyAlignment="1">
      <alignment horizontal="center" vertical="center"/>
    </xf>
    <xf numFmtId="168" fontId="38" fillId="0" borderId="5" xfId="5" applyNumberFormat="1" applyFont="1" applyBorder="1" applyAlignment="1">
      <alignment horizontal="center" vertical="center"/>
    </xf>
    <xf numFmtId="168" fontId="38" fillId="16" borderId="34" xfId="5" applyNumberFormat="1" applyFont="1" applyFill="1" applyBorder="1" applyAlignment="1">
      <alignment horizontal="center" vertical="center"/>
    </xf>
    <xf numFmtId="10" fontId="38" fillId="0" borderId="35" xfId="3" applyNumberFormat="1" applyFont="1" applyBorder="1" applyAlignment="1">
      <alignment horizontal="center" vertical="center"/>
    </xf>
    <xf numFmtId="168" fontId="38" fillId="0" borderId="35" xfId="5" applyNumberFormat="1" applyFont="1" applyBorder="1" applyAlignment="1">
      <alignment horizontal="center" vertical="center"/>
    </xf>
    <xf numFmtId="168" fontId="38" fillId="2" borderId="6" xfId="0" applyNumberFormat="1" applyFont="1" applyFill="1" applyBorder="1" applyAlignment="1">
      <alignment horizontal="center" vertical="center"/>
    </xf>
    <xf numFmtId="168" fontId="38" fillId="16" borderId="2" xfId="5" applyNumberFormat="1" applyFont="1" applyFill="1" applyBorder="1" applyAlignment="1">
      <alignment horizontal="center" vertical="center"/>
    </xf>
    <xf numFmtId="10" fontId="38" fillId="0" borderId="11" xfId="3" applyNumberFormat="1" applyFont="1" applyBorder="1" applyAlignment="1">
      <alignment horizontal="center" vertical="center"/>
    </xf>
    <xf numFmtId="168" fontId="38" fillId="0" borderId="11" xfId="5" applyNumberFormat="1" applyFont="1" applyBorder="1" applyAlignment="1">
      <alignment horizontal="center" vertical="center"/>
    </xf>
    <xf numFmtId="168" fontId="38" fillId="2" borderId="33" xfId="5" applyNumberFormat="1" applyFont="1" applyFill="1" applyBorder="1" applyAlignment="1">
      <alignment horizontal="center" vertical="center"/>
    </xf>
    <xf numFmtId="168" fontId="38" fillId="0" borderId="41" xfId="5" applyNumberFormat="1" applyFont="1" applyBorder="1" applyAlignment="1">
      <alignment horizontal="center" vertical="center"/>
    </xf>
    <xf numFmtId="168" fontId="38" fillId="0" borderId="23" xfId="5" applyNumberFormat="1" applyFont="1" applyBorder="1" applyAlignment="1">
      <alignment horizontal="center" vertical="center"/>
    </xf>
    <xf numFmtId="0" fontId="38" fillId="0" borderId="4" xfId="0" applyFont="1" applyBorder="1" applyAlignment="1">
      <alignment vertical="center"/>
    </xf>
    <xf numFmtId="0" fontId="38" fillId="0" borderId="39" xfId="0" applyFont="1" applyBorder="1" applyAlignment="1">
      <alignment vertical="center"/>
    </xf>
    <xf numFmtId="0" fontId="38" fillId="0" borderId="40" xfId="0" applyFont="1" applyBorder="1" applyAlignment="1">
      <alignment vertical="center"/>
    </xf>
    <xf numFmtId="168" fontId="38" fillId="2" borderId="42" xfId="0" applyNumberFormat="1" applyFont="1" applyFill="1" applyBorder="1" applyAlignment="1">
      <alignment horizontal="center" vertical="center"/>
    </xf>
    <xf numFmtId="168" fontId="38" fillId="16" borderId="25" xfId="5" applyNumberFormat="1" applyFont="1" applyFill="1" applyBorder="1" applyAlignment="1">
      <alignment horizontal="center" vertical="center"/>
    </xf>
    <xf numFmtId="10" fontId="38" fillId="0" borderId="43" xfId="3" applyNumberFormat="1" applyFont="1" applyBorder="1" applyAlignment="1">
      <alignment horizontal="center" vertical="center"/>
    </xf>
    <xf numFmtId="168" fontId="38" fillId="0" borderId="3" xfId="5" applyNumberFormat="1" applyFont="1" applyBorder="1" applyAlignment="1">
      <alignment horizontal="center" vertical="center"/>
    </xf>
    <xf numFmtId="168" fontId="32" fillId="0" borderId="19" xfId="4" applyNumberFormat="1" applyFont="1" applyBorder="1"/>
    <xf numFmtId="0" fontId="41" fillId="0" borderId="0" xfId="4" applyFont="1" applyAlignment="1">
      <alignment vertical="center"/>
    </xf>
    <xf numFmtId="0" fontId="41" fillId="15" borderId="46" xfId="4" applyFont="1" applyFill="1" applyBorder="1" applyAlignment="1">
      <alignment horizontal="center" vertical="center"/>
    </xf>
    <xf numFmtId="0" fontId="41" fillId="15" borderId="28" xfId="4" applyFont="1" applyFill="1" applyBorder="1" applyAlignment="1">
      <alignment horizontal="center" vertical="center"/>
    </xf>
    <xf numFmtId="0" fontId="41" fillId="15" borderId="29" xfId="4" applyFont="1" applyFill="1" applyBorder="1" applyAlignment="1">
      <alignment horizontal="center" vertical="center"/>
    </xf>
    <xf numFmtId="0" fontId="41" fillId="15" borderId="32" xfId="4" applyFont="1" applyFill="1" applyBorder="1" applyAlignment="1">
      <alignment horizontal="center" vertical="center"/>
    </xf>
    <xf numFmtId="168" fontId="41" fillId="0" borderId="0" xfId="5" applyNumberFormat="1" applyFont="1" applyAlignment="1">
      <alignment horizontal="center" vertical="center"/>
    </xf>
    <xf numFmtId="0" fontId="37" fillId="0" borderId="0" xfId="4" applyFont="1" applyAlignment="1">
      <alignment horizontal="left" vertical="center" wrapText="1"/>
    </xf>
    <xf numFmtId="168" fontId="37" fillId="4" borderId="32" xfId="4" applyNumberFormat="1" applyFont="1" applyFill="1" applyBorder="1" applyAlignment="1">
      <alignment horizontal="center" vertical="center" wrapText="1"/>
    </xf>
    <xf numFmtId="10" fontId="37" fillId="4" borderId="32" xfId="3" applyNumberFormat="1" applyFont="1" applyFill="1" applyBorder="1" applyAlignment="1">
      <alignment horizontal="center" vertical="center" wrapText="1"/>
    </xf>
    <xf numFmtId="168" fontId="38" fillId="16" borderId="6" xfId="5" applyNumberFormat="1" applyFont="1" applyFill="1" applyBorder="1" applyAlignment="1">
      <alignment horizontal="center" vertical="center"/>
    </xf>
    <xf numFmtId="172" fontId="40" fillId="0" borderId="0" xfId="5" applyNumberFormat="1" applyFont="1" applyAlignment="1">
      <alignment horizontal="center" vertical="center"/>
    </xf>
    <xf numFmtId="174" fontId="32" fillId="0" borderId="0" xfId="4" applyNumberFormat="1" applyFont="1"/>
    <xf numFmtId="0" fontId="6" fillId="0" borderId="0" xfId="4" applyFont="1"/>
    <xf numFmtId="0" fontId="42" fillId="0" borderId="0" xfId="4" applyFont="1"/>
    <xf numFmtId="10" fontId="37" fillId="4" borderId="32" xfId="5" applyNumberFormat="1" applyFont="1" applyFill="1" applyBorder="1" applyAlignment="1">
      <alignment horizontal="center" vertical="center"/>
    </xf>
    <xf numFmtId="10" fontId="38" fillId="0" borderId="1" xfId="3" applyNumberFormat="1" applyFont="1" applyBorder="1" applyAlignment="1">
      <alignment horizontal="center" vertical="center"/>
    </xf>
    <xf numFmtId="168" fontId="38" fillId="0" borderId="1" xfId="5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left" vertical="center"/>
    </xf>
    <xf numFmtId="0" fontId="38" fillId="0" borderId="39" xfId="0" applyFont="1" applyBorder="1" applyAlignment="1">
      <alignment horizontal="left" vertical="center"/>
    </xf>
    <xf numFmtId="173" fontId="32" fillId="0" borderId="0" xfId="4" applyNumberFormat="1" applyFont="1"/>
    <xf numFmtId="169" fontId="32" fillId="0" borderId="0" xfId="4" applyNumberFormat="1" applyFont="1"/>
    <xf numFmtId="168" fontId="38" fillId="0" borderId="48" xfId="5" applyNumberFormat="1" applyFont="1" applyBorder="1" applyAlignment="1">
      <alignment horizontal="center" vertical="center"/>
    </xf>
    <xf numFmtId="0" fontId="38" fillId="0" borderId="49" xfId="0" applyFont="1" applyBorder="1" applyAlignment="1">
      <alignment horizontal="left" vertical="center"/>
    </xf>
    <xf numFmtId="0" fontId="38" fillId="0" borderId="13" xfId="0" applyFont="1" applyBorder="1" applyAlignment="1">
      <alignment horizontal="left" vertical="center"/>
    </xf>
    <xf numFmtId="0" fontId="38" fillId="0" borderId="20" xfId="0" applyFont="1" applyBorder="1" applyAlignment="1">
      <alignment horizontal="left" vertical="center"/>
    </xf>
    <xf numFmtId="10" fontId="38" fillId="0" borderId="7" xfId="3" applyNumberFormat="1" applyFont="1" applyBorder="1" applyAlignment="1">
      <alignment horizontal="center" vertical="center"/>
    </xf>
    <xf numFmtId="168" fontId="38" fillId="0" borderId="7" xfId="5" applyNumberFormat="1" applyFont="1" applyBorder="1" applyAlignment="1">
      <alignment horizontal="center" vertical="center"/>
    </xf>
    <xf numFmtId="0" fontId="37" fillId="16" borderId="54" xfId="4" applyFont="1" applyFill="1" applyBorder="1" applyAlignment="1">
      <alignment horizontal="center" vertical="center"/>
    </xf>
    <xf numFmtId="0" fontId="37" fillId="16" borderId="35" xfId="4" applyFont="1" applyFill="1" applyBorder="1" applyAlignment="1">
      <alignment horizontal="center" vertical="center"/>
    </xf>
    <xf numFmtId="0" fontId="37" fillId="16" borderId="12" xfId="4" applyFont="1" applyFill="1" applyBorder="1" applyAlignment="1">
      <alignment horizontal="center" vertical="center"/>
    </xf>
    <xf numFmtId="0" fontId="37" fillId="16" borderId="7" xfId="4" applyFont="1" applyFill="1" applyBorder="1" applyAlignment="1">
      <alignment horizontal="center" vertical="center"/>
    </xf>
    <xf numFmtId="0" fontId="32" fillId="16" borderId="0" xfId="4" applyFont="1" applyFill="1" applyAlignment="1">
      <alignment horizontal="center" vertical="center"/>
    </xf>
    <xf numFmtId="14" fontId="32" fillId="16" borderId="0" xfId="4" applyNumberFormat="1" applyFont="1" applyFill="1"/>
    <xf numFmtId="0" fontId="32" fillId="16" borderId="0" xfId="4" applyFont="1" applyFill="1"/>
    <xf numFmtId="0" fontId="32" fillId="16" borderId="18" xfId="4" applyFont="1" applyFill="1" applyBorder="1" applyAlignment="1">
      <alignment horizontal="center" vertical="center"/>
    </xf>
    <xf numFmtId="0" fontId="32" fillId="0" borderId="17" xfId="4" applyFont="1" applyBorder="1"/>
    <xf numFmtId="0" fontId="32" fillId="0" borderId="15" xfId="4" applyFont="1" applyBorder="1"/>
    <xf numFmtId="0" fontId="32" fillId="16" borderId="15" xfId="4" applyFont="1" applyFill="1" applyBorder="1" applyAlignment="1">
      <alignment horizontal="center" vertical="center"/>
    </xf>
    <xf numFmtId="0" fontId="32" fillId="16" borderId="14" xfId="4" applyFont="1" applyFill="1" applyBorder="1" applyAlignment="1">
      <alignment horizontal="center" vertical="center"/>
    </xf>
    <xf numFmtId="0" fontId="38" fillId="0" borderId="39" xfId="0" applyFont="1" applyBorder="1" applyAlignment="1">
      <alignment horizontal="left" vertical="center"/>
    </xf>
    <xf numFmtId="0" fontId="38" fillId="0" borderId="4" xfId="0" applyFont="1" applyBorder="1" applyAlignment="1">
      <alignment horizontal="left" vertical="center"/>
    </xf>
    <xf numFmtId="0" fontId="37" fillId="0" borderId="0" xfId="4" applyFont="1" applyAlignment="1">
      <alignment horizontal="left" vertical="center" wrapText="1"/>
    </xf>
    <xf numFmtId="0" fontId="41" fillId="15" borderId="28" xfId="4" applyFont="1" applyFill="1" applyBorder="1" applyAlignment="1">
      <alignment horizontal="center" vertical="center"/>
    </xf>
    <xf numFmtId="0" fontId="38" fillId="0" borderId="40" xfId="0" applyFont="1" applyBorder="1" applyAlignment="1">
      <alignment vertical="center"/>
    </xf>
    <xf numFmtId="0" fontId="38" fillId="0" borderId="39" xfId="0" applyFont="1" applyBorder="1" applyAlignment="1">
      <alignment vertical="center"/>
    </xf>
    <xf numFmtId="0" fontId="38" fillId="0" borderId="4" xfId="0" applyFont="1" applyBorder="1" applyAlignment="1">
      <alignment vertical="center"/>
    </xf>
    <xf numFmtId="0" fontId="0" fillId="13" borderId="0" xfId="0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3" fontId="8" fillId="13" borderId="0" xfId="0" applyNumberFormat="1" applyFont="1" applyFill="1" applyBorder="1"/>
    <xf numFmtId="10" fontId="8" fillId="13" borderId="0" xfId="0" applyNumberFormat="1" applyFont="1" applyFill="1" applyBorder="1"/>
    <xf numFmtId="9" fontId="0" fillId="13" borderId="0" xfId="0" applyNumberFormat="1" applyFont="1" applyFill="1" applyBorder="1"/>
    <xf numFmtId="165" fontId="0" fillId="0" borderId="0" xfId="0" applyNumberFormat="1" applyFont="1" applyFill="1" applyBorder="1"/>
    <xf numFmtId="10" fontId="0" fillId="13" borderId="0" xfId="2" applyNumberFormat="1" applyFont="1" applyFill="1" applyBorder="1" applyAlignment="1">
      <alignment horizontal="center"/>
    </xf>
    <xf numFmtId="166" fontId="0" fillId="0" borderId="0" xfId="0" applyNumberFormat="1" applyFont="1" applyBorder="1"/>
    <xf numFmtId="1" fontId="0" fillId="13" borderId="0" xfId="0" applyNumberFormat="1" applyFont="1" applyFill="1" applyBorder="1" applyAlignment="1">
      <alignment horizontal="center"/>
    </xf>
    <xf numFmtId="1" fontId="0" fillId="13" borderId="0" xfId="0" applyNumberFormat="1" applyFont="1" applyFill="1" applyBorder="1"/>
    <xf numFmtId="176" fontId="32" fillId="0" borderId="0" xfId="4" applyNumberFormat="1" applyFont="1"/>
    <xf numFmtId="168" fontId="38" fillId="18" borderId="7" xfId="5" applyNumberFormat="1" applyFont="1" applyFill="1" applyBorder="1" applyAlignment="1">
      <alignment horizontal="center" vertical="center"/>
    </xf>
    <xf numFmtId="168" fontId="38" fillId="18" borderId="1" xfId="5" applyNumberFormat="1" applyFont="1" applyFill="1" applyBorder="1" applyAlignment="1">
      <alignment horizontal="center" vertical="center"/>
    </xf>
    <xf numFmtId="168" fontId="38" fillId="18" borderId="48" xfId="5" applyNumberFormat="1" applyFont="1" applyFill="1" applyBorder="1" applyAlignment="1">
      <alignment horizontal="center" vertical="center"/>
    </xf>
    <xf numFmtId="168" fontId="38" fillId="18" borderId="11" xfId="5" applyNumberFormat="1" applyFont="1" applyFill="1" applyBorder="1" applyAlignment="1">
      <alignment horizontal="center" vertical="center"/>
    </xf>
    <xf numFmtId="10" fontId="0" fillId="0" borderId="0" xfId="0" applyNumberFormat="1" applyFont="1"/>
    <xf numFmtId="0" fontId="44" fillId="2" borderId="1" xfId="0" applyFont="1" applyFill="1" applyBorder="1"/>
    <xf numFmtId="10" fontId="44" fillId="2" borderId="1" xfId="0" applyNumberFormat="1" applyFont="1" applyFill="1" applyBorder="1"/>
    <xf numFmtId="10" fontId="44" fillId="0" borderId="1" xfId="0" applyNumberFormat="1" applyFont="1" applyBorder="1"/>
    <xf numFmtId="1" fontId="46" fillId="0" borderId="1" xfId="0" applyNumberFormat="1" applyFont="1" applyBorder="1"/>
    <xf numFmtId="0" fontId="45" fillId="20" borderId="1" xfId="0" applyFont="1" applyFill="1" applyBorder="1" applyAlignment="1">
      <alignment horizontal="center"/>
    </xf>
    <xf numFmtId="0" fontId="45" fillId="19" borderId="1" xfId="0" applyFont="1" applyFill="1" applyBorder="1"/>
    <xf numFmtId="0" fontId="45" fillId="20" borderId="1" xfId="0" applyFont="1" applyFill="1" applyBorder="1"/>
    <xf numFmtId="10" fontId="46" fillId="0" borderId="1" xfId="0" applyNumberFormat="1" applyFont="1" applyBorder="1"/>
    <xf numFmtId="0" fontId="0" fillId="0" borderId="22" xfId="0" applyBorder="1"/>
    <xf numFmtId="0" fontId="10" fillId="0" borderId="24" xfId="2" applyFont="1" applyBorder="1" applyAlignment="1">
      <alignment wrapText="1"/>
    </xf>
    <xf numFmtId="0" fontId="10" fillId="11" borderId="1" xfId="0" applyFont="1" applyFill="1" applyBorder="1"/>
    <xf numFmtId="0" fontId="10" fillId="10" borderId="1" xfId="0" applyFont="1" applyFill="1" applyBorder="1" applyAlignment="1">
      <alignment wrapText="1"/>
    </xf>
    <xf numFmtId="0" fontId="17" fillId="2" borderId="1" xfId="2" applyFont="1" applyFill="1" applyBorder="1" applyAlignment="1">
      <alignment horizontal="center"/>
    </xf>
    <xf numFmtId="0" fontId="17" fillId="0" borderId="0" xfId="2" applyFont="1" applyAlignment="1">
      <alignment horizontal="center"/>
    </xf>
    <xf numFmtId="10" fontId="10" fillId="6" borderId="1" xfId="0" applyNumberFormat="1" applyFont="1" applyFill="1" applyBorder="1"/>
    <xf numFmtId="165" fontId="17" fillId="0" borderId="1" xfId="0" applyNumberFormat="1" applyFont="1" applyBorder="1"/>
    <xf numFmtId="165" fontId="17" fillId="0" borderId="0" xfId="0" applyNumberFormat="1" applyFont="1"/>
    <xf numFmtId="10" fontId="17" fillId="0" borderId="1" xfId="0" applyNumberFormat="1" applyFont="1" applyBorder="1"/>
    <xf numFmtId="0" fontId="10" fillId="8" borderId="9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3"/>
    </xf>
    <xf numFmtId="0" fontId="10" fillId="5" borderId="1" xfId="0" applyFont="1" applyFill="1" applyBorder="1" applyAlignment="1">
      <alignment horizontal="left" vertical="center" indent="3"/>
    </xf>
    <xf numFmtId="0" fontId="7" fillId="1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38" fillId="0" borderId="16" xfId="4" applyFont="1" applyBorder="1" applyAlignment="1">
      <alignment horizontal="center" vertical="center"/>
    </xf>
    <xf numFmtId="0" fontId="38" fillId="0" borderId="7" xfId="4" applyFont="1" applyBorder="1" applyAlignment="1">
      <alignment horizontal="center" vertical="center"/>
    </xf>
    <xf numFmtId="0" fontId="38" fillId="0" borderId="41" xfId="4" applyFont="1" applyBorder="1" applyAlignment="1">
      <alignment horizontal="center" vertical="center"/>
    </xf>
    <xf numFmtId="0" fontId="38" fillId="0" borderId="11" xfId="4" applyFont="1" applyBorder="1" applyAlignment="1">
      <alignment horizontal="center" vertical="center"/>
    </xf>
    <xf numFmtId="0" fontId="38" fillId="0" borderId="53" xfId="4" applyFont="1" applyBorder="1" applyAlignment="1">
      <alignment horizontal="center" vertical="center"/>
    </xf>
    <xf numFmtId="0" fontId="38" fillId="0" borderId="52" xfId="4" applyFont="1" applyBorder="1" applyAlignment="1">
      <alignment horizontal="center" vertical="center"/>
    </xf>
    <xf numFmtId="0" fontId="38" fillId="0" borderId="49" xfId="4" applyFont="1" applyBorder="1" applyAlignment="1">
      <alignment horizontal="center" vertical="center"/>
    </xf>
    <xf numFmtId="0" fontId="38" fillId="0" borderId="48" xfId="4" applyFont="1" applyBorder="1" applyAlignment="1">
      <alignment horizontal="center" vertical="center"/>
    </xf>
    <xf numFmtId="0" fontId="19" fillId="17" borderId="16" xfId="0" applyFont="1" applyFill="1" applyBorder="1" applyAlignment="1">
      <alignment horizontal="center"/>
    </xf>
    <xf numFmtId="0" fontId="19" fillId="17" borderId="7" xfId="0" applyFont="1" applyFill="1" applyBorder="1" applyAlignment="1">
      <alignment horizontal="center"/>
    </xf>
    <xf numFmtId="0" fontId="19" fillId="17" borderId="5" xfId="0" applyFont="1" applyFill="1" applyBorder="1" applyAlignment="1">
      <alignment horizontal="center"/>
    </xf>
    <xf numFmtId="0" fontId="19" fillId="17" borderId="1" xfId="0" applyFont="1" applyFill="1" applyBorder="1" applyAlignment="1">
      <alignment horizontal="center"/>
    </xf>
    <xf numFmtId="0" fontId="19" fillId="17" borderId="55" xfId="0" applyFont="1" applyFill="1" applyBorder="1" applyAlignment="1">
      <alignment horizontal="center"/>
    </xf>
    <xf numFmtId="0" fontId="19" fillId="17" borderId="35" xfId="0" applyFont="1" applyFill="1" applyBorder="1" applyAlignment="1">
      <alignment horizontal="center"/>
    </xf>
    <xf numFmtId="49" fontId="43" fillId="17" borderId="7" xfId="0" applyNumberFormat="1" applyFont="1" applyFill="1" applyBorder="1" applyAlignment="1">
      <alignment horizontal="center" vertical="center" wrapText="1"/>
    </xf>
    <xf numFmtId="49" fontId="43" fillId="17" borderId="12" xfId="0" applyNumberFormat="1" applyFont="1" applyFill="1" applyBorder="1" applyAlignment="1">
      <alignment horizontal="center" vertical="center" wrapText="1"/>
    </xf>
    <xf numFmtId="49" fontId="43" fillId="17" borderId="1" xfId="0" applyNumberFormat="1" applyFont="1" applyFill="1" applyBorder="1" applyAlignment="1">
      <alignment horizontal="center" vertical="center" wrapText="1"/>
    </xf>
    <xf numFmtId="49" fontId="43" fillId="17" borderId="6" xfId="0" applyNumberFormat="1" applyFont="1" applyFill="1" applyBorder="1" applyAlignment="1">
      <alignment horizontal="center" vertical="center" wrapText="1"/>
    </xf>
    <xf numFmtId="49" fontId="43" fillId="17" borderId="35" xfId="0" applyNumberFormat="1" applyFont="1" applyFill="1" applyBorder="1" applyAlignment="1">
      <alignment horizontal="center" vertical="center" wrapText="1"/>
    </xf>
    <xf numFmtId="175" fontId="43" fillId="17" borderId="1" xfId="0" applyNumberFormat="1" applyFont="1" applyFill="1" applyBorder="1" applyAlignment="1">
      <alignment horizontal="center" vertical="center" wrapText="1"/>
    </xf>
    <xf numFmtId="175" fontId="43" fillId="17" borderId="6" xfId="0" applyNumberFormat="1" applyFont="1" applyFill="1" applyBorder="1" applyAlignment="1">
      <alignment horizontal="center" vertical="center" wrapText="1"/>
    </xf>
    <xf numFmtId="175" fontId="43" fillId="17" borderId="35" xfId="0" applyNumberFormat="1" applyFont="1" applyFill="1" applyBorder="1" applyAlignment="1">
      <alignment horizontal="center" vertical="center" wrapText="1"/>
    </xf>
    <xf numFmtId="175" fontId="43" fillId="17" borderId="54" xfId="0" applyNumberFormat="1" applyFont="1" applyFill="1" applyBorder="1" applyAlignment="1">
      <alignment horizontal="center" vertical="center" wrapText="1"/>
    </xf>
    <xf numFmtId="0" fontId="41" fillId="15" borderId="16" xfId="4" applyFont="1" applyFill="1" applyBorder="1" applyAlignment="1">
      <alignment horizontal="center" vertical="center"/>
    </xf>
    <xf numFmtId="0" fontId="41" fillId="15" borderId="7" xfId="4" applyFont="1" applyFill="1" applyBorder="1" applyAlignment="1">
      <alignment horizontal="center" vertical="center"/>
    </xf>
    <xf numFmtId="0" fontId="41" fillId="15" borderId="12" xfId="4" applyFont="1" applyFill="1" applyBorder="1" applyAlignment="1">
      <alignment horizontal="center" vertical="center"/>
    </xf>
    <xf numFmtId="0" fontId="41" fillId="15" borderId="27" xfId="4" applyFont="1" applyFill="1" applyBorder="1" applyAlignment="1">
      <alignment horizontal="center" vertical="center"/>
    </xf>
    <xf numFmtId="0" fontId="41" fillId="15" borderId="26" xfId="4" applyFont="1" applyFill="1" applyBorder="1" applyAlignment="1">
      <alignment horizontal="center" vertical="center"/>
    </xf>
    <xf numFmtId="0" fontId="41" fillId="15" borderId="53" xfId="4" applyFont="1" applyFill="1" applyBorder="1" applyAlignment="1">
      <alignment horizontal="center" vertical="center"/>
    </xf>
    <xf numFmtId="0" fontId="41" fillId="15" borderId="52" xfId="4" applyFont="1" applyFill="1" applyBorder="1" applyAlignment="1">
      <alignment horizontal="center" vertical="center"/>
    </xf>
    <xf numFmtId="0" fontId="41" fillId="15" borderId="51" xfId="4" applyFont="1" applyFill="1" applyBorder="1" applyAlignment="1">
      <alignment horizontal="center" vertical="center"/>
    </xf>
    <xf numFmtId="0" fontId="38" fillId="0" borderId="40" xfId="0" applyFont="1" applyBorder="1" applyAlignment="1">
      <alignment horizontal="left" vertical="center"/>
    </xf>
    <xf numFmtId="0" fontId="38" fillId="0" borderId="39" xfId="0" applyFont="1" applyBorder="1" applyAlignment="1">
      <alignment horizontal="left" vertical="center"/>
    </xf>
    <xf numFmtId="0" fontId="38" fillId="0" borderId="4" xfId="0" applyFont="1" applyBorder="1" applyAlignment="1">
      <alignment horizontal="left" vertical="center"/>
    </xf>
    <xf numFmtId="0" fontId="38" fillId="0" borderId="9" xfId="0" applyFont="1" applyBorder="1" applyAlignment="1">
      <alignment horizontal="left" vertical="center"/>
    </xf>
    <xf numFmtId="0" fontId="38" fillId="0" borderId="10" xfId="0" applyFont="1" applyBorder="1" applyAlignment="1">
      <alignment horizontal="left" vertical="center"/>
    </xf>
    <xf numFmtId="0" fontId="38" fillId="0" borderId="50" xfId="0" applyFont="1" applyBorder="1" applyAlignment="1">
      <alignment horizontal="left" vertical="center"/>
    </xf>
    <xf numFmtId="0" fontId="38" fillId="0" borderId="38" xfId="0" applyFont="1" applyBorder="1" applyAlignment="1">
      <alignment horizontal="left" vertical="center"/>
    </xf>
    <xf numFmtId="0" fontId="38" fillId="0" borderId="37" xfId="0" applyFont="1" applyBorder="1" applyAlignment="1">
      <alignment horizontal="left" vertical="center"/>
    </xf>
    <xf numFmtId="0" fontId="38" fillId="0" borderId="36" xfId="0" applyFont="1" applyBorder="1" applyAlignment="1">
      <alignment horizontal="left" vertical="center"/>
    </xf>
    <xf numFmtId="0" fontId="37" fillId="4" borderId="30" xfId="4" applyFont="1" applyFill="1" applyBorder="1" applyAlignment="1">
      <alignment horizontal="left" vertical="center" wrapText="1"/>
    </xf>
    <xf numFmtId="0" fontId="37" fillId="4" borderId="32" xfId="4" applyFont="1" applyFill="1" applyBorder="1" applyAlignment="1">
      <alignment horizontal="left" vertical="center" wrapText="1"/>
    </xf>
    <xf numFmtId="0" fontId="37" fillId="4" borderId="47" xfId="4" applyFont="1" applyFill="1" applyBorder="1" applyAlignment="1">
      <alignment horizontal="left" vertical="center" wrapText="1"/>
    </xf>
    <xf numFmtId="0" fontId="38" fillId="0" borderId="45" xfId="0" applyFont="1" applyBorder="1" applyAlignment="1">
      <alignment vertical="center"/>
    </xf>
    <xf numFmtId="0" fontId="38" fillId="0" borderId="22" xfId="0" applyFont="1" applyBorder="1" applyAlignment="1">
      <alignment vertical="center"/>
    </xf>
    <xf numFmtId="0" fontId="38" fillId="0" borderId="44" xfId="0" applyFont="1" applyBorder="1" applyAlignment="1">
      <alignment vertical="center"/>
    </xf>
    <xf numFmtId="0" fontId="38" fillId="0" borderId="0" xfId="0" applyFont="1" applyAlignment="1">
      <alignment horizontal="left" vertical="center"/>
    </xf>
    <xf numFmtId="0" fontId="37" fillId="0" borderId="0" xfId="4" applyFont="1" applyAlignment="1">
      <alignment horizontal="left" vertical="center" wrapText="1"/>
    </xf>
    <xf numFmtId="0" fontId="41" fillId="15" borderId="28" xfId="4" applyFont="1" applyFill="1" applyBorder="1" applyAlignment="1">
      <alignment horizontal="center" vertical="center"/>
    </xf>
    <xf numFmtId="0" fontId="41" fillId="15" borderId="47" xfId="4" applyFont="1" applyFill="1" applyBorder="1" applyAlignment="1">
      <alignment horizontal="center" vertical="center"/>
    </xf>
    <xf numFmtId="10" fontId="32" fillId="0" borderId="14" xfId="3" applyNumberFormat="1" applyFont="1" applyBorder="1" applyAlignment="1">
      <alignment horizontal="center" vertical="center"/>
    </xf>
    <xf numFmtId="10" fontId="32" fillId="0" borderId="15" xfId="3" applyNumberFormat="1" applyFont="1" applyBorder="1" applyAlignment="1">
      <alignment horizontal="center" vertical="center"/>
    </xf>
    <xf numFmtId="10" fontId="32" fillId="0" borderId="17" xfId="3" applyNumberFormat="1" applyFont="1" applyBorder="1" applyAlignment="1">
      <alignment horizontal="center" vertical="center"/>
    </xf>
    <xf numFmtId="10" fontId="32" fillId="0" borderId="20" xfId="3" applyNumberFormat="1" applyFont="1" applyBorder="1" applyAlignment="1">
      <alignment horizontal="center" vertical="center"/>
    </xf>
    <xf numFmtId="10" fontId="32" fillId="0" borderId="13" xfId="3" applyNumberFormat="1" applyFont="1" applyBorder="1" applyAlignment="1">
      <alignment horizontal="center" vertical="center"/>
    </xf>
    <xf numFmtId="10" fontId="32" fillId="0" borderId="21" xfId="3" applyNumberFormat="1" applyFont="1" applyBorder="1" applyAlignment="1">
      <alignment horizontal="center" vertical="center"/>
    </xf>
    <xf numFmtId="0" fontId="38" fillId="0" borderId="40" xfId="0" applyFont="1" applyBorder="1" applyAlignment="1">
      <alignment vertical="center"/>
    </xf>
    <xf numFmtId="0" fontId="38" fillId="0" borderId="39" xfId="0" applyFont="1" applyBorder="1" applyAlignment="1">
      <alignment vertical="center"/>
    </xf>
    <xf numFmtId="0" fontId="38" fillId="0" borderId="4" xfId="0" applyFont="1" applyBorder="1" applyAlignment="1">
      <alignment vertical="center"/>
    </xf>
    <xf numFmtId="0" fontId="38" fillId="0" borderId="38" xfId="0" applyFont="1" applyBorder="1" applyAlignment="1">
      <alignment vertical="center"/>
    </xf>
    <xf numFmtId="0" fontId="38" fillId="0" borderId="37" xfId="0" applyFont="1" applyBorder="1" applyAlignment="1">
      <alignment vertical="center"/>
    </xf>
    <xf numFmtId="0" fontId="38" fillId="0" borderId="36" xfId="0" applyFont="1" applyBorder="1" applyAlignment="1">
      <alignment vertical="center"/>
    </xf>
    <xf numFmtId="0" fontId="37" fillId="4" borderId="30" xfId="4" applyFont="1" applyFill="1" applyBorder="1" applyAlignment="1">
      <alignment horizontal="left" vertical="center"/>
    </xf>
    <xf numFmtId="0" fontId="37" fillId="4" borderId="32" xfId="4" applyFont="1" applyFill="1" applyBorder="1" applyAlignment="1">
      <alignment horizontal="left" vertical="center"/>
    </xf>
    <xf numFmtId="0" fontId="34" fillId="15" borderId="28" xfId="4" applyFont="1" applyFill="1" applyBorder="1" applyAlignment="1">
      <alignment horizontal="center" vertical="center"/>
    </xf>
    <xf numFmtId="0" fontId="34" fillId="15" borderId="27" xfId="4" applyFont="1" applyFill="1" applyBorder="1" applyAlignment="1">
      <alignment horizontal="center" vertical="center"/>
    </xf>
    <xf numFmtId="0" fontId="34" fillId="15" borderId="26" xfId="4" applyFont="1" applyFill="1" applyBorder="1" applyAlignment="1">
      <alignment horizontal="center" vertical="center"/>
    </xf>
    <xf numFmtId="0" fontId="35" fillId="15" borderId="28" xfId="4" applyFont="1" applyFill="1" applyBorder="1" applyAlignment="1">
      <alignment horizontal="center"/>
    </xf>
    <xf numFmtId="0" fontId="35" fillId="15" borderId="27" xfId="4" applyFont="1" applyFill="1" applyBorder="1" applyAlignment="1">
      <alignment horizontal="center"/>
    </xf>
    <xf numFmtId="0" fontId="35" fillId="15" borderId="26" xfId="4" applyFont="1" applyFill="1" applyBorder="1" applyAlignment="1">
      <alignment horizontal="center"/>
    </xf>
    <xf numFmtId="0" fontId="34" fillId="13" borderId="0" xfId="4" applyFont="1" applyFill="1" applyAlignment="1">
      <alignment horizontal="center"/>
    </xf>
    <xf numFmtId="0" fontId="8" fillId="13" borderId="0" xfId="0" applyFont="1" applyFill="1" applyBorder="1" applyAlignment="1">
      <alignment horizontal="center"/>
    </xf>
    <xf numFmtId="0" fontId="10" fillId="13" borderId="0" xfId="0" applyFont="1" applyFill="1" applyBorder="1" applyAlignment="1">
      <alignment horizontal="center"/>
    </xf>
    <xf numFmtId="0" fontId="29" fillId="13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44" fillId="19" borderId="3" xfId="0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 wrapText="1"/>
    </xf>
    <xf numFmtId="0" fontId="10" fillId="2" borderId="4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8" fillId="14" borderId="2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1" fontId="44" fillId="0" borderId="1" xfId="4" applyNumberFormat="1" applyFont="1" applyBorder="1" applyAlignment="1">
      <alignment horizontal="right" vertical="center"/>
    </xf>
    <xf numFmtId="10" fontId="44" fillId="0" borderId="1" xfId="5" applyNumberFormat="1" applyFont="1" applyFill="1" applyBorder="1" applyAlignment="1">
      <alignment horizontal="center" vertical="center"/>
    </xf>
    <xf numFmtId="0" fontId="44" fillId="0" borderId="1" xfId="0" applyFont="1" applyBorder="1"/>
  </cellXfs>
  <cellStyles count="8">
    <cellStyle name="Millares 2" xfId="5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50" xfId="1" xr:uid="{00000000-0005-0000-0000-000004000000}"/>
    <cellStyle name="Percent" xfId="3" xr:uid="{00000000-0005-0000-0000-000005000000}"/>
    <cellStyle name="Percent 2" xfId="7" xr:uid="{03EFCBE3-52FB-8B41-A25C-487339190387}"/>
    <cellStyle name="Porcentaje 2 2" xfId="6" xr:uid="{00000000-0005-0000-0000-000006000000}"/>
  </cellStyles>
  <dxfs count="1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2CC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6460231" y="2759675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174899</xdr:colOff>
      <xdr:row>36</xdr:row>
      <xdr:rowOff>175001</xdr:rowOff>
    </xdr:from>
    <xdr:to>
      <xdr:col>16</xdr:col>
      <xdr:colOff>227690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0842899" y="6996715"/>
          <a:ext cx="814791" cy="29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740995</xdr:colOff>
      <xdr:row>23</xdr:row>
      <xdr:rowOff>101871</xdr:rowOff>
    </xdr:from>
    <xdr:to>
      <xdr:col>9</xdr:col>
      <xdr:colOff>125305</xdr:colOff>
      <xdr:row>23</xdr:row>
      <xdr:rowOff>148770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  <a:endCxn id="12" idx="5"/>
        </xdr:cNvCxnSpPr>
      </xdr:nvCxnSpPr>
      <xdr:spPr>
        <a:xfrm flipH="1">
          <a:off x="4550995" y="4601300"/>
          <a:ext cx="1833596" cy="4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502107</xdr:colOff>
      <xdr:row>23</xdr:row>
      <xdr:rowOff>84502</xdr:rowOff>
    </xdr:from>
    <xdr:to>
      <xdr:col>12</xdr:col>
      <xdr:colOff>302065</xdr:colOff>
      <xdr:row>23</xdr:row>
      <xdr:rowOff>101871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  <a:stCxn id="14" idx="3"/>
          <a:endCxn id="15" idx="2"/>
        </xdr:cNvCxnSpPr>
      </xdr:nvCxnSpPr>
      <xdr:spPr>
        <a:xfrm flipV="1">
          <a:off x="7360107" y="4319952"/>
          <a:ext cx="1323958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154214</xdr:colOff>
      <xdr:row>1</xdr:row>
      <xdr:rowOff>163286</xdr:rowOff>
    </xdr:from>
    <xdr:to>
      <xdr:col>4</xdr:col>
      <xdr:colOff>563088</xdr:colOff>
      <xdr:row>4</xdr:row>
      <xdr:rowOff>74232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91A2E7-DB8F-7144-9B8B-A84FFF4EB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4414" y="353786"/>
          <a:ext cx="1386774" cy="482446"/>
        </a:xfrm>
        <a:prstGeom prst="rect">
          <a:avLst/>
        </a:prstGeom>
      </xdr:spPr>
    </xdr:pic>
    <xdr:clientData/>
  </xdr:twoCellAnchor>
  <xdr:twoCellAnchor editAs="oneCell">
    <xdr:from>
      <xdr:col>3</xdr:col>
      <xdr:colOff>154214</xdr:colOff>
      <xdr:row>1</xdr:row>
      <xdr:rowOff>163286</xdr:rowOff>
    </xdr:from>
    <xdr:to>
      <xdr:col>4</xdr:col>
      <xdr:colOff>559913</xdr:colOff>
      <xdr:row>4</xdr:row>
      <xdr:rowOff>77407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73D69E-87AC-934D-9771-342C8EA36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4414" y="353786"/>
          <a:ext cx="1383599" cy="4856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154214</xdr:colOff>
      <xdr:row>1</xdr:row>
      <xdr:rowOff>163286</xdr:rowOff>
    </xdr:from>
    <xdr:ext cx="1386774" cy="482446"/>
    <xdr:pic>
      <xdr:nvPicPr>
        <xdr:cNvPr id="2" name="Imagen 1">
          <a:extLst>
            <a:ext uri="{FF2B5EF4-FFF2-40B4-BE49-F238E27FC236}">
              <a16:creationId xmlns:a16="http://schemas.microsoft.com/office/drawing/2014/main" id="{F868B310-8CD3-A344-A052-AA42727A0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02014" y="353786"/>
          <a:ext cx="1386774" cy="482446"/>
        </a:xfrm>
        <a:prstGeom prst="rect">
          <a:avLst/>
        </a:prstGeom>
      </xdr:spPr>
    </xdr:pic>
    <xdr:clientData/>
  </xdr:oneCellAnchor>
  <xdr:oneCellAnchor>
    <xdr:from>
      <xdr:col>3</xdr:col>
      <xdr:colOff>154214</xdr:colOff>
      <xdr:row>1</xdr:row>
      <xdr:rowOff>163286</xdr:rowOff>
    </xdr:from>
    <xdr:ext cx="1383599" cy="485621"/>
    <xdr:pic>
      <xdr:nvPicPr>
        <xdr:cNvPr id="3" name="Imagen 2">
          <a:extLst>
            <a:ext uri="{FF2B5EF4-FFF2-40B4-BE49-F238E27FC236}">
              <a16:creationId xmlns:a16="http://schemas.microsoft.com/office/drawing/2014/main" id="{F739169F-43A9-0C45-9D33-9E7748C1D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02014" y="353786"/>
          <a:ext cx="1383599" cy="48562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782263</xdr:colOff>
      <xdr:row>6</xdr:row>
      <xdr:rowOff>179994</xdr:rowOff>
    </xdr:from>
    <xdr:to>
      <xdr:col>6</xdr:col>
      <xdr:colOff>173182</xdr:colOff>
      <xdr:row>8</xdr:row>
      <xdr:rowOff>57727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>
          <a:off x="4095808" y="1334539"/>
          <a:ext cx="279919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596060</xdr:colOff>
      <xdr:row>32</xdr:row>
      <xdr:rowOff>107062</xdr:rowOff>
    </xdr:from>
    <xdr:to>
      <xdr:col>12</xdr:col>
      <xdr:colOff>603714</xdr:colOff>
      <xdr:row>36</xdr:row>
      <xdr:rowOff>88546</xdr:rowOff>
    </xdr:to>
    <xdr:sp macro="" textlink="">
      <xdr:nvSpPr>
        <xdr:cNvPr id="83" name="Triángulo isósceles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9058878" y="6283880"/>
          <a:ext cx="758109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13721</xdr:colOff>
      <xdr:row>50</xdr:row>
      <xdr:rowOff>46886</xdr:rowOff>
    </xdr:from>
    <xdr:to>
      <xdr:col>8</xdr:col>
      <xdr:colOff>646545</xdr:colOff>
      <xdr:row>53</xdr:row>
      <xdr:rowOff>59336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4585721" y="9594977"/>
          <a:ext cx="1394824" cy="56663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Filtrado</a:t>
          </a:r>
        </a:p>
      </xdr:txBody>
    </xdr:sp>
    <xdr:clientData/>
  </xdr:twoCellAnchor>
  <xdr:twoCellAnchor>
    <xdr:from>
      <xdr:col>6</xdr:col>
      <xdr:colOff>735144</xdr:colOff>
      <xdr:row>40</xdr:row>
      <xdr:rowOff>36387</xdr:rowOff>
    </xdr:from>
    <xdr:to>
      <xdr:col>8</xdr:col>
      <xdr:colOff>669635</xdr:colOff>
      <xdr:row>45</xdr:row>
      <xdr:rowOff>25197</xdr:rowOff>
    </xdr:to>
    <xdr:sp macro="" textlink="">
      <xdr:nvSpPr>
        <xdr:cNvPr id="85" name="Cilindro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4545144" y="7691023"/>
          <a:ext cx="1458491" cy="935538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TK</a:t>
          </a:r>
        </a:p>
        <a:p>
          <a:pPr algn="ctr"/>
          <a:r>
            <a:rPr lang="es-CL" sz="1000">
              <a:solidFill>
                <a:schemeClr val="tx1"/>
              </a:solidFill>
            </a:rPr>
            <a:t>Inventarios + Vaciado</a:t>
          </a:r>
          <a:r>
            <a:rPr lang="es-CL" sz="1000" baseline="0">
              <a:solidFill>
                <a:schemeClr val="tx1"/>
              </a:solidFill>
            </a:rPr>
            <a:t> Espesadores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122795</xdr:colOff>
      <xdr:row>52</xdr:row>
      <xdr:rowOff>79597</xdr:rowOff>
    </xdr:from>
    <xdr:to>
      <xdr:col>4</xdr:col>
      <xdr:colOff>23091</xdr:colOff>
      <xdr:row>55</xdr:row>
      <xdr:rowOff>138545</xdr:rowOff>
    </xdr:to>
    <xdr:sp macro="" textlink="">
      <xdr:nvSpPr>
        <xdr:cNvPr id="86" name="Triángulo isósceles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646795" y="10077961"/>
          <a:ext cx="662296" cy="64776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8547</xdr:colOff>
      <xdr:row>40</xdr:row>
      <xdr:rowOff>24841</xdr:rowOff>
    </xdr:from>
    <xdr:to>
      <xdr:col>4</xdr:col>
      <xdr:colOff>141994</xdr:colOff>
      <xdr:row>44</xdr:row>
      <xdr:rowOff>89177</xdr:rowOff>
    </xdr:to>
    <xdr:sp macro="" textlink="">
      <xdr:nvSpPr>
        <xdr:cNvPr id="87" name="Triángulo isósceles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532547" y="7679477"/>
          <a:ext cx="895447" cy="80324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318907</xdr:colOff>
      <xdr:row>12</xdr:row>
      <xdr:rowOff>5354</xdr:rowOff>
    </xdr:from>
    <xdr:to>
      <xdr:col>8</xdr:col>
      <xdr:colOff>326561</xdr:colOff>
      <xdr:row>14</xdr:row>
      <xdr:rowOff>154215</xdr:rowOff>
    </xdr:to>
    <xdr:sp macro="" textlink="">
      <xdr:nvSpPr>
        <xdr:cNvPr id="88" name="Triángulo isósceles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5562193" y="2282283"/>
          <a:ext cx="769654" cy="54800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33223</xdr:colOff>
      <xdr:row>2</xdr:row>
      <xdr:rowOff>127000</xdr:rowOff>
    </xdr:from>
    <xdr:to>
      <xdr:col>6</xdr:col>
      <xdr:colOff>46182</xdr:colOff>
      <xdr:row>6</xdr:row>
      <xdr:rowOff>179994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CxnSpPr>
          <a:cxnSpLocks/>
          <a:endCxn id="82" idx="0"/>
        </xdr:cNvCxnSpPr>
      </xdr:nvCxnSpPr>
      <xdr:spPr>
        <a:xfrm flipH="1">
          <a:off x="4235768" y="508000"/>
          <a:ext cx="12959" cy="82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42294</xdr:colOff>
      <xdr:row>8</xdr:row>
      <xdr:rowOff>57726</xdr:rowOff>
    </xdr:from>
    <xdr:to>
      <xdr:col>7</xdr:col>
      <xdr:colOff>871556</xdr:colOff>
      <xdr:row>12</xdr:row>
      <xdr:rowOff>5353</xdr:rowOff>
    </xdr:to>
    <xdr:cxnSp macro="">
      <xdr:nvCxnSpPr>
        <xdr:cNvPr id="90" name="Conector: angular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>
          <a:cxnSpLocks/>
          <a:stCxn id="82" idx="4"/>
          <a:endCxn id="88" idx="0"/>
        </xdr:cNvCxnSpPr>
      </xdr:nvCxnSpPr>
      <xdr:spPr>
        <a:xfrm rot="16200000" flipH="1">
          <a:off x="5399826" y="968552"/>
          <a:ext cx="709627" cy="1917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496524</xdr:colOff>
      <xdr:row>21</xdr:row>
      <xdr:rowOff>20074</xdr:rowOff>
    </xdr:from>
    <xdr:to>
      <xdr:col>8</xdr:col>
      <xdr:colOff>148949</xdr:colOff>
      <xdr:row>24</xdr:row>
      <xdr:rowOff>172357</xdr:rowOff>
    </xdr:to>
    <xdr:sp macro="" textlink="">
      <xdr:nvSpPr>
        <xdr:cNvPr id="91" name="Cilindro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5068524" y="4029645"/>
          <a:ext cx="414425" cy="69656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703734</xdr:colOff>
      <xdr:row>14</xdr:row>
      <xdr:rowOff>154215</xdr:rowOff>
    </xdr:from>
    <xdr:to>
      <xdr:col>7</xdr:col>
      <xdr:colOff>703737</xdr:colOff>
      <xdr:row>21</xdr:row>
      <xdr:rowOff>20074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>
          <a:cxnSpLocks/>
          <a:stCxn id="88" idx="3"/>
          <a:endCxn id="91" idx="1"/>
        </xdr:cNvCxnSpPr>
      </xdr:nvCxnSpPr>
      <xdr:spPr>
        <a:xfrm>
          <a:off x="5947020" y="2830286"/>
          <a:ext cx="3" cy="1226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692727</xdr:colOff>
      <xdr:row>31</xdr:row>
      <xdr:rowOff>42119</xdr:rowOff>
    </xdr:from>
    <xdr:to>
      <xdr:col>8</xdr:col>
      <xdr:colOff>727364</xdr:colOff>
      <xdr:row>34</xdr:row>
      <xdr:rowOff>138545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4502727" y="5941846"/>
          <a:ext cx="1558637" cy="685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Molienda Clasificación</a:t>
          </a:r>
        </a:p>
      </xdr:txBody>
    </xdr:sp>
    <xdr:clientData/>
  </xdr:twoCellAnchor>
  <xdr:twoCellAnchor>
    <xdr:from>
      <xdr:col>7</xdr:col>
      <xdr:colOff>703737</xdr:colOff>
      <xdr:row>24</xdr:row>
      <xdr:rowOff>172357</xdr:rowOff>
    </xdr:from>
    <xdr:to>
      <xdr:col>7</xdr:col>
      <xdr:colOff>710046</xdr:colOff>
      <xdr:row>31</xdr:row>
      <xdr:rowOff>42119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CxnSpPr>
          <a:cxnSpLocks/>
          <a:stCxn id="91" idx="3"/>
          <a:endCxn id="93" idx="0"/>
        </xdr:cNvCxnSpPr>
      </xdr:nvCxnSpPr>
      <xdr:spPr>
        <a:xfrm>
          <a:off x="5275737" y="4732812"/>
          <a:ext cx="6309" cy="1209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34</xdr:row>
      <xdr:rowOff>138545</xdr:rowOff>
    </xdr:from>
    <xdr:to>
      <xdr:col>7</xdr:col>
      <xdr:colOff>710046</xdr:colOff>
      <xdr:row>40</xdr:row>
      <xdr:rowOff>36387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>
          <a:cxnSpLocks/>
          <a:stCxn id="93" idx="2"/>
          <a:endCxn id="85" idx="1"/>
        </xdr:cNvCxnSpPr>
      </xdr:nvCxnSpPr>
      <xdr:spPr>
        <a:xfrm flipH="1">
          <a:off x="5274390" y="6627090"/>
          <a:ext cx="7656" cy="1063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45</xdr:row>
      <xdr:rowOff>25197</xdr:rowOff>
    </xdr:from>
    <xdr:to>
      <xdr:col>7</xdr:col>
      <xdr:colOff>711133</xdr:colOff>
      <xdr:row>50</xdr:row>
      <xdr:rowOff>46886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CxnSpPr>
          <a:cxnSpLocks/>
          <a:stCxn id="85" idx="3"/>
          <a:endCxn id="84" idx="0"/>
        </xdr:cNvCxnSpPr>
      </xdr:nvCxnSpPr>
      <xdr:spPr>
        <a:xfrm>
          <a:off x="5274390" y="8626561"/>
          <a:ext cx="8743" cy="991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561152</xdr:colOff>
      <xdr:row>48</xdr:row>
      <xdr:rowOff>120508</xdr:rowOff>
    </xdr:from>
    <xdr:to>
      <xdr:col>5</xdr:col>
      <xdr:colOff>95173</xdr:colOff>
      <xdr:row>50</xdr:row>
      <xdr:rowOff>25321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2847152" y="9276053"/>
          <a:ext cx="296021" cy="297359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95173</xdr:colOff>
      <xdr:row>49</xdr:row>
      <xdr:rowOff>72916</xdr:rowOff>
    </xdr:from>
    <xdr:to>
      <xdr:col>7</xdr:col>
      <xdr:colOff>13721</xdr:colOff>
      <xdr:row>51</xdr:row>
      <xdr:rowOff>151249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>
          <a:cxnSpLocks/>
          <a:stCxn id="84" idx="1"/>
          <a:endCxn id="97" idx="6"/>
        </xdr:cNvCxnSpPr>
      </xdr:nvCxnSpPr>
      <xdr:spPr>
        <a:xfrm rot="10800000">
          <a:off x="3143173" y="9424734"/>
          <a:ext cx="1442548" cy="4593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853315</xdr:colOff>
      <xdr:row>42</xdr:row>
      <xdr:rowOff>57009</xdr:rowOff>
    </xdr:from>
    <xdr:to>
      <xdr:col>4</xdr:col>
      <xdr:colOff>709164</xdr:colOff>
      <xdr:row>48</xdr:row>
      <xdr:rowOff>120508</xdr:rowOff>
    </xdr:to>
    <xdr:cxnSp macro="">
      <xdr:nvCxnSpPr>
        <xdr:cNvPr id="99" name="Conector: angula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>
          <a:cxnSpLocks/>
          <a:stCxn id="97" idx="0"/>
          <a:endCxn id="87" idx="5"/>
        </xdr:cNvCxnSpPr>
      </xdr:nvCxnSpPr>
      <xdr:spPr>
        <a:xfrm rot="16200000" flipV="1">
          <a:off x="2360081" y="8363880"/>
          <a:ext cx="1229589" cy="8487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792700</xdr:colOff>
      <xdr:row>50</xdr:row>
      <xdr:rowOff>25321</xdr:rowOff>
    </xdr:from>
    <xdr:to>
      <xdr:col>4</xdr:col>
      <xdr:colOff>709164</xdr:colOff>
      <xdr:row>54</xdr:row>
      <xdr:rowOff>10935</xdr:rowOff>
    </xdr:to>
    <xdr:cxnSp macro="">
      <xdr:nvCxnSpPr>
        <xdr:cNvPr id="100" name="Conector: angular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CxnSpPr>
          <a:cxnSpLocks/>
          <a:stCxn id="97" idx="4"/>
          <a:endCxn id="86" idx="5"/>
        </xdr:cNvCxnSpPr>
      </xdr:nvCxnSpPr>
      <xdr:spPr>
        <a:xfrm rot="5400000">
          <a:off x="2559216" y="9631078"/>
          <a:ext cx="770705" cy="909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540668</xdr:colOff>
      <xdr:row>59</xdr:row>
      <xdr:rowOff>81023</xdr:rowOff>
    </xdr:from>
    <xdr:to>
      <xdr:col>9</xdr:col>
      <xdr:colOff>119600</xdr:colOff>
      <xdr:row>62</xdr:row>
      <xdr:rowOff>93473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4350668" y="11372478"/>
          <a:ext cx="1864932" cy="5666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Balling</a:t>
          </a:r>
        </a:p>
      </xdr:txBody>
    </xdr:sp>
    <xdr:clientData/>
  </xdr:twoCellAnchor>
  <xdr:twoCellAnchor>
    <xdr:from>
      <xdr:col>3</xdr:col>
      <xdr:colOff>453942</xdr:colOff>
      <xdr:row>55</xdr:row>
      <xdr:rowOff>138545</xdr:rowOff>
    </xdr:from>
    <xdr:to>
      <xdr:col>6</xdr:col>
      <xdr:colOff>540667</xdr:colOff>
      <xdr:row>60</xdr:row>
      <xdr:rowOff>179612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>
          <a:cxnSpLocks/>
          <a:stCxn id="86" idx="3"/>
          <a:endCxn id="101" idx="1"/>
        </xdr:cNvCxnSpPr>
      </xdr:nvCxnSpPr>
      <xdr:spPr>
        <a:xfrm rot="16200000" flipH="1">
          <a:off x="2670408" y="9975534"/>
          <a:ext cx="987794" cy="2372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711133</xdr:colOff>
      <xdr:row>53</xdr:row>
      <xdr:rowOff>59335</xdr:rowOff>
    </xdr:from>
    <xdr:to>
      <xdr:col>7</xdr:col>
      <xdr:colOff>711134</xdr:colOff>
      <xdr:row>59</xdr:row>
      <xdr:rowOff>81022</xdr:rowOff>
    </xdr:to>
    <xdr:cxnSp macro="">
      <xdr:nvCxnSpPr>
        <xdr:cNvPr id="103" name="Conector: angular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>
          <a:cxnSpLocks/>
          <a:stCxn id="84" idx="2"/>
          <a:endCxn id="101" idx="0"/>
        </xdr:cNvCxnSpPr>
      </xdr:nvCxnSpPr>
      <xdr:spPr>
        <a:xfrm rot="16200000" flipH="1">
          <a:off x="4695017" y="10784360"/>
          <a:ext cx="117623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208642</xdr:colOff>
      <xdr:row>38</xdr:row>
      <xdr:rowOff>65169</xdr:rowOff>
    </xdr:from>
    <xdr:to>
      <xdr:col>3</xdr:col>
      <xdr:colOff>671286</xdr:colOff>
      <xdr:row>41</xdr:row>
      <xdr:rowOff>99786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970642" y="7286026"/>
          <a:ext cx="1224644" cy="6151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Pellet Feed Embarque</a:t>
          </a:r>
        </a:p>
      </xdr:txBody>
    </xdr:sp>
    <xdr:clientData/>
  </xdr:twoCellAnchor>
  <xdr:twoCellAnchor>
    <xdr:from>
      <xdr:col>2</xdr:col>
      <xdr:colOff>191872</xdr:colOff>
      <xdr:row>57</xdr:row>
      <xdr:rowOff>88900</xdr:rowOff>
    </xdr:from>
    <xdr:to>
      <xdr:col>3</xdr:col>
      <xdr:colOff>292100</xdr:colOff>
      <xdr:row>59</xdr:row>
      <xdr:rowOff>17555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953872" y="11080750"/>
          <a:ext cx="862228" cy="322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Pila Intermedia</a:t>
          </a:r>
        </a:p>
      </xdr:txBody>
    </xdr:sp>
    <xdr:clientData/>
  </xdr:twoCellAnchor>
  <xdr:twoCellAnchor>
    <xdr:from>
      <xdr:col>7</xdr:col>
      <xdr:colOff>711135</xdr:colOff>
      <xdr:row>62</xdr:row>
      <xdr:rowOff>93472</xdr:rowOff>
    </xdr:from>
    <xdr:to>
      <xdr:col>8</xdr:col>
      <xdr:colOff>568883</xdr:colOff>
      <xdr:row>69</xdr:row>
      <xdr:rowOff>80044</xdr:rowOff>
    </xdr:to>
    <xdr:cxnSp macro="">
      <xdr:nvCxnSpPr>
        <xdr:cNvPr id="106" name="Conector: angular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>
          <a:cxnSpLocks/>
          <a:stCxn id="101" idx="2"/>
          <a:endCxn id="156" idx="0"/>
        </xdr:cNvCxnSpPr>
      </xdr:nvCxnSpPr>
      <xdr:spPr>
        <a:xfrm rot="16200000" flipH="1">
          <a:off x="4953177" y="12269066"/>
          <a:ext cx="1279663" cy="6197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429853</xdr:colOff>
      <xdr:row>60</xdr:row>
      <xdr:rowOff>127089</xdr:rowOff>
    </xdr:from>
    <xdr:to>
      <xdr:col>15</xdr:col>
      <xdr:colOff>8785</xdr:colOff>
      <xdr:row>63</xdr:row>
      <xdr:rowOff>139538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8811853" y="11012803"/>
          <a:ext cx="1864932" cy="556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Harnero Producto</a:t>
          </a:r>
        </a:p>
      </xdr:txBody>
    </xdr:sp>
    <xdr:clientData/>
  </xdr:twoCellAnchor>
  <xdr:twoCellAnchor>
    <xdr:from>
      <xdr:col>13</xdr:col>
      <xdr:colOff>257715</xdr:colOff>
      <xdr:row>71</xdr:row>
      <xdr:rowOff>76407</xdr:rowOff>
    </xdr:from>
    <xdr:to>
      <xdr:col>14</xdr:col>
      <xdr:colOff>265369</xdr:colOff>
      <xdr:row>75</xdr:row>
      <xdr:rowOff>57892</xdr:rowOff>
    </xdr:to>
    <xdr:sp macro="" textlink="">
      <xdr:nvSpPr>
        <xdr:cNvPr id="108" name="Triángulo isósceles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0394624" y="13884771"/>
          <a:ext cx="769654" cy="76657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303325</xdr:colOff>
      <xdr:row>75</xdr:row>
      <xdr:rowOff>33798</xdr:rowOff>
    </xdr:from>
    <xdr:to>
      <xdr:col>14</xdr:col>
      <xdr:colOff>60573</xdr:colOff>
      <xdr:row>76</xdr:row>
      <xdr:rowOff>136071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8812325" y="14584369"/>
          <a:ext cx="1281248" cy="3018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Pila de Emergencia</a:t>
          </a:r>
        </a:p>
      </xdr:txBody>
    </xdr:sp>
    <xdr:clientData/>
  </xdr:twoCellAnchor>
  <xdr:twoCellAnchor>
    <xdr:from>
      <xdr:col>10</xdr:col>
      <xdr:colOff>647166</xdr:colOff>
      <xdr:row>31</xdr:row>
      <xdr:rowOff>94541</xdr:rowOff>
    </xdr:from>
    <xdr:to>
      <xdr:col>12</xdr:col>
      <xdr:colOff>404414</xdr:colOff>
      <xdr:row>33</xdr:row>
      <xdr:rowOff>97312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8348809" y="6108898"/>
          <a:ext cx="1272176" cy="4019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Inventarios Derrames</a:t>
          </a:r>
        </a:p>
      </xdr:txBody>
    </xdr:sp>
    <xdr:clientData/>
  </xdr:twoCellAnchor>
  <xdr:twoCellAnchor>
    <xdr:from>
      <xdr:col>8</xdr:col>
      <xdr:colOff>727364</xdr:colOff>
      <xdr:row>32</xdr:row>
      <xdr:rowOff>192385</xdr:rowOff>
    </xdr:from>
    <xdr:to>
      <xdr:col>12</xdr:col>
      <xdr:colOff>13607</xdr:colOff>
      <xdr:row>33</xdr:row>
      <xdr:rowOff>40821</xdr:rowOff>
    </xdr:to>
    <xdr:cxnSp macro="">
      <xdr:nvCxnSpPr>
        <xdr:cNvPr id="111" name="Conector: angular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CxnSpPr>
          <a:cxnSpLocks/>
          <a:stCxn id="93" idx="3"/>
        </xdr:cNvCxnSpPr>
      </xdr:nvCxnSpPr>
      <xdr:spPr>
        <a:xfrm>
          <a:off x="7408471" y="6628564"/>
          <a:ext cx="3395600" cy="52543"/>
        </a:xfrm>
        <a:prstGeom prst="bentConnector3">
          <a:avLst>
            <a:gd name="adj1" fmla="val -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669635</xdr:colOff>
      <xdr:row>34</xdr:row>
      <xdr:rowOff>97805</xdr:rowOff>
    </xdr:from>
    <xdr:to>
      <xdr:col>12</xdr:col>
      <xdr:colOff>26474</xdr:colOff>
      <xdr:row>42</xdr:row>
      <xdr:rowOff>134701</xdr:rowOff>
    </xdr:to>
    <xdr:cxnSp macro="">
      <xdr:nvCxnSpPr>
        <xdr:cNvPr id="112" name="Conector: angular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CxnSpPr>
          <a:cxnSpLocks/>
          <a:stCxn id="85" idx="4"/>
          <a:endCxn id="83" idx="1"/>
        </xdr:cNvCxnSpPr>
      </xdr:nvCxnSpPr>
      <xdr:spPr>
        <a:xfrm flipV="1">
          <a:off x="6003635" y="6592948"/>
          <a:ext cx="2404839" cy="1579039"/>
        </a:xfrm>
        <a:prstGeom prst="bentConnector3">
          <a:avLst>
            <a:gd name="adj1" fmla="val 442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782882</xdr:colOff>
      <xdr:row>33</xdr:row>
      <xdr:rowOff>190501</xdr:rowOff>
    </xdr:from>
    <xdr:to>
      <xdr:col>11</xdr:col>
      <xdr:colOff>653143</xdr:colOff>
      <xdr:row>69</xdr:row>
      <xdr:rowOff>114586</xdr:rowOff>
    </xdr:to>
    <xdr:cxnSp macro="">
      <xdr:nvCxnSpPr>
        <xdr:cNvPr id="113" name="Conector: angular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CxnSpPr>
          <a:cxnSpLocks/>
        </xdr:cNvCxnSpPr>
      </xdr:nvCxnSpPr>
      <xdr:spPr>
        <a:xfrm rot="5400000" flipH="1" flipV="1">
          <a:off x="5947095" y="9313788"/>
          <a:ext cx="7258335" cy="2292333"/>
        </a:xfrm>
        <a:prstGeom prst="bentConnector3">
          <a:avLst>
            <a:gd name="adj1" fmla="val 100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646545</xdr:colOff>
      <xdr:row>35</xdr:row>
      <xdr:rowOff>95250</xdr:rowOff>
    </xdr:from>
    <xdr:to>
      <xdr:col>11</xdr:col>
      <xdr:colOff>666750</xdr:colOff>
      <xdr:row>51</xdr:row>
      <xdr:rowOff>155165</xdr:rowOff>
    </xdr:to>
    <xdr:cxnSp macro="">
      <xdr:nvCxnSpPr>
        <xdr:cNvPr id="114" name="Conector: angular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>
          <a:cxnSpLocks/>
          <a:stCxn id="84" idx="3"/>
        </xdr:cNvCxnSpPr>
      </xdr:nvCxnSpPr>
      <xdr:spPr>
        <a:xfrm flipV="1">
          <a:off x="7327652" y="7143750"/>
          <a:ext cx="3408384" cy="33120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644072</xdr:colOff>
      <xdr:row>60</xdr:row>
      <xdr:rowOff>187034</xdr:rowOff>
    </xdr:from>
    <xdr:to>
      <xdr:col>6</xdr:col>
      <xdr:colOff>540668</xdr:colOff>
      <xdr:row>63</xdr:row>
      <xdr:rowOff>26726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CxnSpPr>
          <a:cxnSpLocks/>
          <a:stCxn id="116" idx="3"/>
          <a:endCxn id="101" idx="1"/>
        </xdr:cNvCxnSpPr>
      </xdr:nvCxnSpPr>
      <xdr:spPr>
        <a:xfrm flipV="1">
          <a:off x="3692072" y="11744034"/>
          <a:ext cx="658596" cy="420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471494</xdr:colOff>
      <xdr:row>62</xdr:row>
      <xdr:rowOff>62523</xdr:rowOff>
    </xdr:from>
    <xdr:to>
      <xdr:col>5</xdr:col>
      <xdr:colOff>644072</xdr:colOff>
      <xdr:row>63</xdr:row>
      <xdr:rowOff>172357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>
          <a:off x="2757494" y="12018666"/>
          <a:ext cx="934578" cy="2912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Aditivo</a:t>
          </a:r>
        </a:p>
      </xdr:txBody>
    </xdr:sp>
    <xdr:clientData/>
  </xdr:twoCellAnchor>
  <xdr:twoCellAnchor>
    <xdr:from>
      <xdr:col>5</xdr:col>
      <xdr:colOff>190789</xdr:colOff>
      <xdr:row>70</xdr:row>
      <xdr:rowOff>166087</xdr:rowOff>
    </xdr:from>
    <xdr:to>
      <xdr:col>6</xdr:col>
      <xdr:colOff>442553</xdr:colOff>
      <xdr:row>72</xdr:row>
      <xdr:rowOff>90715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3238789" y="13664373"/>
          <a:ext cx="1013764" cy="28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Oxidación</a:t>
          </a:r>
        </a:p>
      </xdr:txBody>
    </xdr:sp>
    <xdr:clientData/>
  </xdr:twoCellAnchor>
  <xdr:twoCellAnchor>
    <xdr:from>
      <xdr:col>6</xdr:col>
      <xdr:colOff>133637</xdr:colOff>
      <xdr:row>70</xdr:row>
      <xdr:rowOff>178758</xdr:rowOff>
    </xdr:from>
    <xdr:to>
      <xdr:col>7</xdr:col>
      <xdr:colOff>398416</xdr:colOff>
      <xdr:row>72</xdr:row>
      <xdr:rowOff>127486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CxnSpPr>
          <a:cxnSpLocks/>
          <a:endCxn id="156" idx="1"/>
        </xdr:cNvCxnSpPr>
      </xdr:nvCxnSpPr>
      <xdr:spPr>
        <a:xfrm flipV="1">
          <a:off x="3943637" y="13559940"/>
          <a:ext cx="1026779" cy="318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398416</xdr:colOff>
      <xdr:row>68</xdr:row>
      <xdr:rowOff>179903</xdr:rowOff>
    </xdr:from>
    <xdr:to>
      <xdr:col>10</xdr:col>
      <xdr:colOff>13629</xdr:colOff>
      <xdr:row>72</xdr:row>
      <xdr:rowOff>175216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GrpSpPr/>
      </xdr:nvGrpSpPr>
      <xdr:grpSpPr>
        <a:xfrm>
          <a:off x="6769583" y="13800653"/>
          <a:ext cx="3446379" cy="799646"/>
          <a:chOff x="4085457" y="9822544"/>
          <a:chExt cx="1305065" cy="457876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SpPr/>
        </xdr:nvSpPr>
        <xdr:spPr>
          <a:xfrm>
            <a:off x="4085457" y="9875470"/>
            <a:ext cx="1280160" cy="35354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>
                <a:solidFill>
                  <a:schemeClr val="tx1"/>
                </a:solidFill>
              </a:rPr>
              <a:t>Endurecimiento</a:t>
            </a:r>
          </a:p>
        </xdr:txBody>
      </xdr:sp>
      <xdr:sp macro="" textlink="">
        <xdr:nvSpPr>
          <xdr:cNvPr id="157" name="Elipse 156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SpPr/>
        </xdr:nvSpPr>
        <xdr:spPr>
          <a:xfrm>
            <a:off x="5228893" y="982254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8" name="Elipse 157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28893" y="993746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9" name="Elipse 158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21417" y="10029468"/>
            <a:ext cx="169105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60" name="Elipse 159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SpPr/>
        </xdr:nvSpPr>
        <xdr:spPr>
          <a:xfrm>
            <a:off x="5228892" y="10121435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</xdr:grpSp>
    <xdr:clientData/>
  </xdr:twoCellAnchor>
  <xdr:twoCellAnchor>
    <xdr:from>
      <xdr:col>11</xdr:col>
      <xdr:colOff>628217</xdr:colOff>
      <xdr:row>40</xdr:row>
      <xdr:rowOff>122204</xdr:rowOff>
    </xdr:from>
    <xdr:to>
      <xdr:col>12</xdr:col>
      <xdr:colOff>635871</xdr:colOff>
      <xdr:row>44</xdr:row>
      <xdr:rowOff>90881</xdr:rowOff>
    </xdr:to>
    <xdr:sp macro="" textlink="">
      <xdr:nvSpPr>
        <xdr:cNvPr id="120" name="Triángulo isósceles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/>
      </xdr:nvSpPr>
      <xdr:spPr>
        <a:xfrm>
          <a:off x="9084923" y="7824380"/>
          <a:ext cx="762183" cy="73067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310381</xdr:colOff>
      <xdr:row>43</xdr:row>
      <xdr:rowOff>8150</xdr:rowOff>
    </xdr:from>
    <xdr:to>
      <xdr:col>13</xdr:col>
      <xdr:colOff>67629</xdr:colOff>
      <xdr:row>44</xdr:row>
      <xdr:rowOff>98478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/>
      </xdr:nvSpPr>
      <xdr:spPr>
        <a:xfrm>
          <a:off x="8767087" y="8278091"/>
          <a:ext cx="1378366" cy="2845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Chunk</a:t>
          </a:r>
        </a:p>
      </xdr:txBody>
    </xdr:sp>
    <xdr:clientData/>
  </xdr:twoCellAnchor>
  <xdr:twoCellAnchor>
    <xdr:from>
      <xdr:col>10</xdr:col>
      <xdr:colOff>2740</xdr:colOff>
      <xdr:row>42</xdr:row>
      <xdr:rowOff>169991</xdr:rowOff>
    </xdr:from>
    <xdr:to>
      <xdr:col>12</xdr:col>
      <xdr:colOff>58629</xdr:colOff>
      <xdr:row>70</xdr:row>
      <xdr:rowOff>100101</xdr:rowOff>
    </xdr:to>
    <xdr:cxnSp macro="">
      <xdr:nvCxnSpPr>
        <xdr:cNvPr id="122" name="Conector: angular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>
          <a:cxnSpLocks/>
        </xdr:cNvCxnSpPr>
      </xdr:nvCxnSpPr>
      <xdr:spPr>
        <a:xfrm flipV="1">
          <a:off x="7091649" y="8251809"/>
          <a:ext cx="1579889" cy="54142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13631</xdr:colOff>
      <xdr:row>62</xdr:row>
      <xdr:rowOff>42600</xdr:rowOff>
    </xdr:from>
    <xdr:to>
      <xdr:col>12</xdr:col>
      <xdr:colOff>429854</xdr:colOff>
      <xdr:row>71</xdr:row>
      <xdr:rowOff>86643</xdr:rowOff>
    </xdr:to>
    <xdr:cxnSp macro="">
      <xdr:nvCxnSpPr>
        <xdr:cNvPr id="123" name="Conector: angular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CxnSpPr>
          <a:cxnSpLocks/>
          <a:stCxn id="159" idx="6"/>
          <a:endCxn id="107" idx="1"/>
        </xdr:cNvCxnSpPr>
      </xdr:nvCxnSpPr>
      <xdr:spPr>
        <a:xfrm flipV="1">
          <a:off x="6871631" y="11945964"/>
          <a:ext cx="1940223" cy="170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245497</xdr:colOff>
      <xdr:row>51</xdr:row>
      <xdr:rowOff>91710</xdr:rowOff>
    </xdr:from>
    <xdr:to>
      <xdr:col>14</xdr:col>
      <xdr:colOff>253151</xdr:colOff>
      <xdr:row>55</xdr:row>
      <xdr:rowOff>73195</xdr:rowOff>
    </xdr:to>
    <xdr:sp macro="" textlink="">
      <xdr:nvSpPr>
        <xdr:cNvPr id="124" name="Triángulo isósceles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/>
      </xdr:nvSpPr>
      <xdr:spPr>
        <a:xfrm>
          <a:off x="10323321" y="9915534"/>
          <a:ext cx="769654" cy="75842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609085</xdr:colOff>
      <xdr:row>51</xdr:row>
      <xdr:rowOff>180956</xdr:rowOff>
    </xdr:from>
    <xdr:to>
      <xdr:col>14</xdr:col>
      <xdr:colOff>366333</xdr:colOff>
      <xdr:row>53</xdr:row>
      <xdr:rowOff>84892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/>
      </xdr:nvSpPr>
      <xdr:spPr>
        <a:xfrm>
          <a:off x="9822358" y="10075411"/>
          <a:ext cx="1385157" cy="296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Chip Fresco</a:t>
          </a:r>
        </a:p>
      </xdr:txBody>
    </xdr:sp>
    <xdr:clientData/>
  </xdr:twoCellAnchor>
  <xdr:twoCellAnchor>
    <xdr:from>
      <xdr:col>9</xdr:col>
      <xdr:colOff>854330</xdr:colOff>
      <xdr:row>72</xdr:row>
      <xdr:rowOff>135533</xdr:rowOff>
    </xdr:from>
    <xdr:to>
      <xdr:col>13</xdr:col>
      <xdr:colOff>450128</xdr:colOff>
      <xdr:row>73</xdr:row>
      <xdr:rowOff>67150</xdr:rowOff>
    </xdr:to>
    <xdr:cxnSp macro="">
      <xdr:nvCxnSpPr>
        <xdr:cNvPr id="126" name="Conector: angular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>
          <a:cxnSpLocks/>
          <a:stCxn id="160" idx="5"/>
          <a:endCxn id="108" idx="1"/>
        </xdr:cNvCxnSpPr>
      </xdr:nvCxnSpPr>
      <xdr:spPr>
        <a:xfrm rot="16200000" flipH="1">
          <a:off x="9085739" y="12766760"/>
          <a:ext cx="127890" cy="28747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34</xdr:row>
      <xdr:rowOff>93569</xdr:rowOff>
    </xdr:from>
    <xdr:to>
      <xdr:col>14</xdr:col>
      <xdr:colOff>789215</xdr:colOff>
      <xdr:row>35</xdr:row>
      <xdr:rowOff>127000</xdr:rowOff>
    </xdr:to>
    <xdr:cxnSp macro="">
      <xdr:nvCxnSpPr>
        <xdr:cNvPr id="127" name="Conector: angular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CxnSpPr>
          <a:cxnSpLocks/>
          <a:endCxn id="272" idx="1"/>
        </xdr:cNvCxnSpPr>
      </xdr:nvCxnSpPr>
      <xdr:spPr>
        <a:xfrm flipV="1">
          <a:off x="11811000" y="6742926"/>
          <a:ext cx="1850572" cy="2330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445325</xdr:colOff>
      <xdr:row>42</xdr:row>
      <xdr:rowOff>104028</xdr:rowOff>
    </xdr:from>
    <xdr:to>
      <xdr:col>14</xdr:col>
      <xdr:colOff>740976</xdr:colOff>
      <xdr:row>42</xdr:row>
      <xdr:rowOff>106543</xdr:rowOff>
    </xdr:to>
    <xdr:cxnSp macro="">
      <xdr:nvCxnSpPr>
        <xdr:cNvPr id="128" name="Conector: angular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CxnSpPr>
          <a:cxnSpLocks/>
          <a:stCxn id="120" idx="5"/>
          <a:endCxn id="283" idx="1"/>
        </xdr:cNvCxnSpPr>
      </xdr:nvCxnSpPr>
      <xdr:spPr>
        <a:xfrm flipV="1">
          <a:off x="9656560" y="8187204"/>
          <a:ext cx="1924240" cy="25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60738</xdr:colOff>
      <xdr:row>49</xdr:row>
      <xdr:rowOff>84603</xdr:rowOff>
    </xdr:from>
    <xdr:to>
      <xdr:col>16</xdr:col>
      <xdr:colOff>235966</xdr:colOff>
      <xdr:row>53</xdr:row>
      <xdr:rowOff>82453</xdr:rowOff>
    </xdr:to>
    <xdr:cxnSp macro="">
      <xdr:nvCxnSpPr>
        <xdr:cNvPr id="129" name="Conector: angular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CxnSpPr>
          <a:cxnSpLocks/>
          <a:stCxn id="124" idx="5"/>
          <a:endCxn id="289" idx="1"/>
        </xdr:cNvCxnSpPr>
      </xdr:nvCxnSpPr>
      <xdr:spPr>
        <a:xfrm flipV="1">
          <a:off x="10900562" y="9519956"/>
          <a:ext cx="1878522" cy="7747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630324</xdr:colOff>
      <xdr:row>55</xdr:row>
      <xdr:rowOff>73195</xdr:rowOff>
    </xdr:from>
    <xdr:to>
      <xdr:col>13</xdr:col>
      <xdr:colOff>637672</xdr:colOff>
      <xdr:row>60</xdr:row>
      <xdr:rowOff>127089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CxnSpPr>
          <a:cxnSpLocks/>
          <a:stCxn id="107" idx="0"/>
          <a:endCxn id="124" idx="3"/>
        </xdr:cNvCxnSpPr>
      </xdr:nvCxnSpPr>
      <xdr:spPr>
        <a:xfrm flipH="1" flipV="1">
          <a:off x="10708148" y="10673960"/>
          <a:ext cx="7348" cy="1025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804073</xdr:colOff>
      <xdr:row>34</xdr:row>
      <xdr:rowOff>138399</xdr:rowOff>
    </xdr:from>
    <xdr:to>
      <xdr:col>19</xdr:col>
      <xdr:colOff>2102</xdr:colOff>
      <xdr:row>38</xdr:row>
      <xdr:rowOff>119883</xdr:rowOff>
    </xdr:to>
    <xdr:sp macro="" textlink="">
      <xdr:nvSpPr>
        <xdr:cNvPr id="132" name="Triángulo isósceles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14150618" y="6707763"/>
          <a:ext cx="1114575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702235</xdr:colOff>
      <xdr:row>37</xdr:row>
      <xdr:rowOff>32998</xdr:rowOff>
    </xdr:from>
    <xdr:to>
      <xdr:col>19</xdr:col>
      <xdr:colOff>183290</xdr:colOff>
      <xdr:row>38</xdr:row>
      <xdr:rowOff>119530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14007353" y="7152469"/>
          <a:ext cx="1393525" cy="2807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Finos Huasco</a:t>
          </a:r>
        </a:p>
      </xdr:txBody>
    </xdr:sp>
    <xdr:clientData/>
  </xdr:twoCellAnchor>
  <xdr:twoCellAnchor>
    <xdr:from>
      <xdr:col>17</xdr:col>
      <xdr:colOff>917379</xdr:colOff>
      <xdr:row>52</xdr:row>
      <xdr:rowOff>18130</xdr:rowOff>
    </xdr:from>
    <xdr:to>
      <xdr:col>19</xdr:col>
      <xdr:colOff>73386</xdr:colOff>
      <xdr:row>55</xdr:row>
      <xdr:rowOff>195887</xdr:rowOff>
    </xdr:to>
    <xdr:sp macro="" textlink="">
      <xdr:nvSpPr>
        <xdr:cNvPr id="134" name="Triángulo isósceles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14217743" y="10108857"/>
          <a:ext cx="1072552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18</xdr:col>
      <xdr:colOff>87659</xdr:colOff>
      <xdr:row>53</xdr:row>
      <xdr:rowOff>104886</xdr:rowOff>
    </xdr:from>
    <xdr:to>
      <xdr:col>18</xdr:col>
      <xdr:colOff>704273</xdr:colOff>
      <xdr:row>55</xdr:row>
      <xdr:rowOff>150090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14450204" y="10391886"/>
          <a:ext cx="616614" cy="437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Chip</a:t>
          </a:r>
        </a:p>
      </xdr:txBody>
    </xdr:sp>
    <xdr:clientData/>
  </xdr:twoCellAnchor>
  <xdr:twoCellAnchor>
    <xdr:from>
      <xdr:col>17</xdr:col>
      <xdr:colOff>814507</xdr:colOff>
      <xdr:row>60</xdr:row>
      <xdr:rowOff>17178</xdr:rowOff>
    </xdr:from>
    <xdr:to>
      <xdr:col>19</xdr:col>
      <xdr:colOff>15253</xdr:colOff>
      <xdr:row>63</xdr:row>
      <xdr:rowOff>192897</xdr:rowOff>
    </xdr:to>
    <xdr:sp macro="" textlink="">
      <xdr:nvSpPr>
        <xdr:cNvPr id="136" name="Triángulo isósceles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14119625" y="11589119"/>
          <a:ext cx="1113216" cy="7584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893053</xdr:colOff>
      <xdr:row>61</xdr:row>
      <xdr:rowOff>130276</xdr:rowOff>
    </xdr:from>
    <xdr:to>
      <xdr:col>18</xdr:col>
      <xdr:colOff>831273</xdr:colOff>
      <xdr:row>64</xdr:row>
      <xdr:rowOff>34635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>
        <a:xfrm>
          <a:off x="14193417" y="11987458"/>
          <a:ext cx="1000401" cy="4931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Básico</a:t>
          </a:r>
        </a:p>
      </xdr:txBody>
    </xdr:sp>
    <xdr:clientData/>
  </xdr:twoCellAnchor>
  <xdr:twoCellAnchor>
    <xdr:from>
      <xdr:col>17</xdr:col>
      <xdr:colOff>792167</xdr:colOff>
      <xdr:row>13</xdr:row>
      <xdr:rowOff>79838</xdr:rowOff>
    </xdr:from>
    <xdr:to>
      <xdr:col>18</xdr:col>
      <xdr:colOff>715818</xdr:colOff>
      <xdr:row>16</xdr:row>
      <xdr:rowOff>190501</xdr:rowOff>
    </xdr:to>
    <xdr:sp macro="" textlink="">
      <xdr:nvSpPr>
        <xdr:cNvPr id="138" name="Triángulo isósceles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16263076" y="2585202"/>
          <a:ext cx="985833" cy="69948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16</xdr:col>
      <xdr:colOff>484300</xdr:colOff>
      <xdr:row>11</xdr:row>
      <xdr:rowOff>87322</xdr:rowOff>
    </xdr:from>
    <xdr:to>
      <xdr:col>18</xdr:col>
      <xdr:colOff>241548</xdr:colOff>
      <xdr:row>15</xdr:row>
      <xdr:rowOff>68806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12533425" y="2242353"/>
          <a:ext cx="2007529" cy="7792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Sinter Feed</a:t>
          </a:r>
        </a:p>
      </xdr:txBody>
    </xdr:sp>
    <xdr:clientData/>
  </xdr:twoCellAnchor>
  <xdr:twoCellAnchor>
    <xdr:from>
      <xdr:col>20</xdr:col>
      <xdr:colOff>761304</xdr:colOff>
      <xdr:row>45</xdr:row>
      <xdr:rowOff>40550</xdr:rowOff>
    </xdr:from>
    <xdr:to>
      <xdr:col>21</xdr:col>
      <xdr:colOff>295325</xdr:colOff>
      <xdr:row>46</xdr:row>
      <xdr:rowOff>126793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16809486" y="8780459"/>
          <a:ext cx="584657" cy="282516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232409</xdr:colOff>
      <xdr:row>42</xdr:row>
      <xdr:rowOff>57009</xdr:rowOff>
    </xdr:from>
    <xdr:to>
      <xdr:col>21</xdr:col>
      <xdr:colOff>147315</xdr:colOff>
      <xdr:row>46</xdr:row>
      <xdr:rowOff>126793</xdr:rowOff>
    </xdr:to>
    <xdr:cxnSp macro="">
      <xdr:nvCxnSpPr>
        <xdr:cNvPr id="141" name="Conector: angular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CxnSpPr>
          <a:cxnSpLocks/>
          <a:stCxn id="87" idx="1"/>
          <a:endCxn id="140" idx="4"/>
        </xdr:cNvCxnSpPr>
      </xdr:nvCxnSpPr>
      <xdr:spPr>
        <a:xfrm rot="10800000" flipH="1" flipV="1">
          <a:off x="1756409" y="8081100"/>
          <a:ext cx="13630906" cy="820238"/>
        </a:xfrm>
        <a:prstGeom prst="bentConnector4">
          <a:avLst>
            <a:gd name="adj1" fmla="val -7978"/>
            <a:gd name="adj2" fmla="val 8448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72956</xdr:colOff>
      <xdr:row>42</xdr:row>
      <xdr:rowOff>69392</xdr:rowOff>
    </xdr:from>
    <xdr:to>
      <xdr:col>15</xdr:col>
      <xdr:colOff>632119</xdr:colOff>
      <xdr:row>73</xdr:row>
      <xdr:rowOff>32514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CxnSpPr>
          <a:cxnSpLocks/>
        </xdr:cNvCxnSpPr>
      </xdr:nvCxnSpPr>
      <xdr:spPr>
        <a:xfrm flipH="1">
          <a:off x="12934592" y="8232028"/>
          <a:ext cx="1494345" cy="6036031"/>
        </a:xfrm>
        <a:prstGeom prst="bentConnector3">
          <a:avLst>
            <a:gd name="adj1" fmla="val -15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680358</xdr:colOff>
      <xdr:row>34</xdr:row>
      <xdr:rowOff>93569</xdr:rowOff>
    </xdr:from>
    <xdr:to>
      <xdr:col>18</xdr:col>
      <xdr:colOff>20741</xdr:colOff>
      <xdr:row>36</xdr:row>
      <xdr:rowOff>129141</xdr:rowOff>
    </xdr:to>
    <xdr:cxnSp macro="">
      <xdr:nvCxnSpPr>
        <xdr:cNvPr id="144" name="Conector: angular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CxnSpPr>
          <a:cxnSpLocks/>
          <a:stCxn id="272" idx="3"/>
          <a:endCxn id="132" idx="1"/>
        </xdr:cNvCxnSpPr>
      </xdr:nvCxnSpPr>
      <xdr:spPr>
        <a:xfrm>
          <a:off x="12473215" y="6706640"/>
          <a:ext cx="1925740" cy="434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223314</xdr:colOff>
      <xdr:row>16</xdr:row>
      <xdr:rowOff>190501</xdr:rowOff>
    </xdr:from>
    <xdr:to>
      <xdr:col>18</xdr:col>
      <xdr:colOff>298767</xdr:colOff>
      <xdr:row>34</xdr:row>
      <xdr:rowOff>138399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>
          <a:cxnSpLocks/>
          <a:stCxn id="132" idx="0"/>
          <a:endCxn id="138" idx="3"/>
        </xdr:cNvCxnSpPr>
      </xdr:nvCxnSpPr>
      <xdr:spPr>
        <a:xfrm flipH="1" flipV="1">
          <a:off x="14601528" y="3247572"/>
          <a:ext cx="75453" cy="3540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577822</xdr:colOff>
      <xdr:row>36</xdr:row>
      <xdr:rowOff>129142</xdr:rowOff>
    </xdr:from>
    <xdr:to>
      <xdr:col>20</xdr:col>
      <xdr:colOff>761304</xdr:colOff>
      <xdr:row>45</xdr:row>
      <xdr:rowOff>181808</xdr:rowOff>
    </xdr:to>
    <xdr:cxnSp macro="">
      <xdr:nvCxnSpPr>
        <xdr:cNvPr id="147" name="Conector: angular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CxnSpPr>
          <a:cxnSpLocks/>
          <a:stCxn id="132" idx="5"/>
          <a:endCxn id="140" idx="2"/>
        </xdr:cNvCxnSpPr>
      </xdr:nvCxnSpPr>
      <xdr:spPr>
        <a:xfrm>
          <a:off x="14986549" y="7091051"/>
          <a:ext cx="1834482" cy="1796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659612</xdr:colOff>
      <xdr:row>45</xdr:row>
      <xdr:rowOff>181808</xdr:rowOff>
    </xdr:from>
    <xdr:to>
      <xdr:col>20</xdr:col>
      <xdr:colOff>761304</xdr:colOff>
      <xdr:row>54</xdr:row>
      <xdr:rowOff>8872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CxnSpPr>
          <a:cxnSpLocks/>
          <a:stCxn id="134" idx="5"/>
          <a:endCxn id="140" idx="2"/>
        </xdr:cNvCxnSpPr>
      </xdr:nvCxnSpPr>
      <xdr:spPr>
        <a:xfrm flipV="1">
          <a:off x="15022157" y="8898626"/>
          <a:ext cx="1752692" cy="15935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173182</xdr:colOff>
      <xdr:row>7</xdr:row>
      <xdr:rowOff>118860</xdr:rowOff>
    </xdr:from>
    <xdr:to>
      <xdr:col>18</xdr:col>
      <xdr:colOff>241548</xdr:colOff>
      <xdr:row>13</xdr:row>
      <xdr:rowOff>72291</xdr:rowOff>
    </xdr:to>
    <xdr:cxnSp macro="">
      <xdr:nvCxnSpPr>
        <xdr:cNvPr id="149" name="Conector: angular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CxnSpPr>
          <a:cxnSpLocks/>
          <a:stCxn id="82" idx="6"/>
          <a:endCxn id="139" idx="3"/>
        </xdr:cNvCxnSpPr>
      </xdr:nvCxnSpPr>
      <xdr:spPr>
        <a:xfrm>
          <a:off x="4375727" y="1458133"/>
          <a:ext cx="10020548" cy="1096431"/>
        </a:xfrm>
        <a:prstGeom prst="bentConnector3">
          <a:avLst>
            <a:gd name="adj1" fmla="val 1000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469566</xdr:colOff>
      <xdr:row>15</xdr:row>
      <xdr:rowOff>44455</xdr:rowOff>
    </xdr:from>
    <xdr:to>
      <xdr:col>21</xdr:col>
      <xdr:colOff>2172</xdr:colOff>
      <xdr:row>45</xdr:row>
      <xdr:rowOff>40550</xdr:rowOff>
    </xdr:to>
    <xdr:cxnSp macro="">
      <xdr:nvCxnSpPr>
        <xdr:cNvPr id="150" name="Conector: angular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CxnSpPr>
          <a:cxnSpLocks/>
          <a:stCxn id="138" idx="5"/>
          <a:endCxn id="140" idx="0"/>
        </xdr:cNvCxnSpPr>
      </xdr:nvCxnSpPr>
      <xdr:spPr>
        <a:xfrm>
          <a:off x="14847780" y="2901955"/>
          <a:ext cx="2235892" cy="59650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588596</xdr:colOff>
      <xdr:row>45</xdr:row>
      <xdr:rowOff>180789</xdr:rowOff>
    </xdr:from>
    <xdr:to>
      <xdr:col>20</xdr:col>
      <xdr:colOff>761304</xdr:colOff>
      <xdr:row>62</xdr:row>
      <xdr:rowOff>7920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CxnSpPr>
          <a:cxnSpLocks/>
          <a:stCxn id="136" idx="5"/>
          <a:endCxn id="140" idx="2"/>
        </xdr:cNvCxnSpPr>
      </xdr:nvCxnSpPr>
      <xdr:spPr>
        <a:xfrm flipV="1">
          <a:off x="14954537" y="8839201"/>
          <a:ext cx="1823708" cy="3129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295325</xdr:colOff>
      <xdr:row>45</xdr:row>
      <xdr:rowOff>181808</xdr:rowOff>
    </xdr:from>
    <xdr:to>
      <xdr:col>22</xdr:col>
      <xdr:colOff>23091</xdr:colOff>
      <xdr:row>45</xdr:row>
      <xdr:rowOff>184727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CxnSpPr>
          <a:cxnSpLocks/>
          <a:stCxn id="140" idx="6"/>
        </xdr:cNvCxnSpPr>
      </xdr:nvCxnSpPr>
      <xdr:spPr>
        <a:xfrm>
          <a:off x="17394143" y="8921717"/>
          <a:ext cx="1020857" cy="2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154214</xdr:colOff>
      <xdr:row>19</xdr:row>
      <xdr:rowOff>136071</xdr:rowOff>
    </xdr:from>
    <xdr:to>
      <xdr:col>7</xdr:col>
      <xdr:colOff>572018</xdr:colOff>
      <xdr:row>23</xdr:row>
      <xdr:rowOff>33583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3964214" y="3746500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Silos</a:t>
          </a:r>
          <a:r>
            <a:rPr lang="es-CL" sz="1050" baseline="0">
              <a:solidFill>
                <a:schemeClr val="tx1"/>
              </a:solidFill>
            </a:rPr>
            <a:t> Molienda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217714</xdr:colOff>
      <xdr:row>32</xdr:row>
      <xdr:rowOff>192385</xdr:rowOff>
    </xdr:from>
    <xdr:to>
      <xdr:col>6</xdr:col>
      <xdr:colOff>692727</xdr:colOff>
      <xdr:row>33</xdr:row>
      <xdr:rowOff>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CxnSpPr>
          <a:cxnSpLocks/>
          <a:stCxn id="93" idx="1"/>
        </xdr:cNvCxnSpPr>
      </xdr:nvCxnSpPr>
      <xdr:spPr>
        <a:xfrm flipH="1">
          <a:off x="3986893" y="6628564"/>
          <a:ext cx="1305048" cy="11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224972</xdr:colOff>
      <xdr:row>30</xdr:row>
      <xdr:rowOff>161472</xdr:rowOff>
    </xdr:from>
    <xdr:to>
      <xdr:col>4</xdr:col>
      <xdr:colOff>642776</xdr:colOff>
      <xdr:row>34</xdr:row>
      <xdr:rowOff>77127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/>
      </xdr:nvSpPr>
      <xdr:spPr>
        <a:xfrm>
          <a:off x="1748972" y="5858329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400" b="1">
              <a:solidFill>
                <a:schemeClr val="tx1"/>
              </a:solidFill>
            </a:rPr>
            <a:t>EMISARIO SUBMARINO</a:t>
          </a:r>
        </a:p>
      </xdr:txBody>
    </xdr:sp>
    <xdr:clientData/>
  </xdr:twoCellAnchor>
  <xdr:twoCellAnchor>
    <xdr:from>
      <xdr:col>3</xdr:col>
      <xdr:colOff>503836</xdr:colOff>
      <xdr:row>44</xdr:row>
      <xdr:rowOff>89177</xdr:rowOff>
    </xdr:from>
    <xdr:to>
      <xdr:col>3</xdr:col>
      <xdr:colOff>506164</xdr:colOff>
      <xdr:row>52</xdr:row>
      <xdr:rowOff>79597</xdr:rowOff>
    </xdr:to>
    <xdr:cxnSp macro="">
      <xdr:nvCxnSpPr>
        <xdr:cNvPr id="212" name="Conector: angular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CxnSpPr>
          <a:cxnSpLocks/>
          <a:stCxn id="86" idx="0"/>
          <a:endCxn id="87" idx="3"/>
        </xdr:cNvCxnSpPr>
      </xdr:nvCxnSpPr>
      <xdr:spPr>
        <a:xfrm rot="5400000" flipH="1" flipV="1">
          <a:off x="1407861" y="9417723"/>
          <a:ext cx="1586992" cy="23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623410</xdr:colOff>
      <xdr:row>63</xdr:row>
      <xdr:rowOff>139538</xdr:rowOff>
    </xdr:from>
    <xdr:to>
      <xdr:col>13</xdr:col>
      <xdr:colOff>642542</xdr:colOff>
      <xdr:row>71</xdr:row>
      <xdr:rowOff>76407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>
          <a:cxnSpLocks/>
          <a:stCxn id="108" idx="0"/>
          <a:endCxn id="107" idx="2"/>
        </xdr:cNvCxnSpPr>
      </xdr:nvCxnSpPr>
      <xdr:spPr>
        <a:xfrm flipH="1" flipV="1">
          <a:off x="10760319" y="12377720"/>
          <a:ext cx="19132" cy="1507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8785</xdr:colOff>
      <xdr:row>62</xdr:row>
      <xdr:rowOff>7920</xdr:rowOff>
    </xdr:from>
    <xdr:to>
      <xdr:col>18</xdr:col>
      <xdr:colOff>31988</xdr:colOff>
      <xdr:row>62</xdr:row>
      <xdr:rowOff>36196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CxnSpPr>
          <a:cxnSpLocks/>
          <a:stCxn id="107" idx="3"/>
          <a:endCxn id="136" idx="1"/>
        </xdr:cNvCxnSpPr>
      </xdr:nvCxnSpPr>
      <xdr:spPr>
        <a:xfrm flipV="1">
          <a:off x="11789903" y="11968332"/>
          <a:ext cx="2608026" cy="2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716642</xdr:colOff>
      <xdr:row>11</xdr:row>
      <xdr:rowOff>185571</xdr:rowOff>
    </xdr:from>
    <xdr:to>
      <xdr:col>9</xdr:col>
      <xdr:colOff>417286</xdr:colOff>
      <xdr:row>15</xdr:row>
      <xdr:rowOff>35462</xdr:rowOff>
    </xdr:to>
    <xdr:sp macro="" textlink="">
      <xdr:nvSpPr>
        <xdr:cNvPr id="260" name="Rectángulo 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/>
      </xdr:nvSpPr>
      <xdr:spPr>
        <a:xfrm>
          <a:off x="5288642" y="2263753"/>
          <a:ext cx="1224644" cy="6234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Prec</a:t>
          </a:r>
        </a:p>
        <a:p>
          <a:pPr algn="ctr"/>
          <a:r>
            <a:rPr lang="es-CL" sz="1050">
              <a:solidFill>
                <a:schemeClr val="tx1"/>
              </a:solidFill>
            </a:rPr>
            <a:t>Pta</a:t>
          </a:r>
          <a:r>
            <a:rPr lang="es-CL" sz="1050" baseline="0">
              <a:solidFill>
                <a:schemeClr val="tx1"/>
              </a:solidFill>
            </a:rPr>
            <a:t> Pellet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22</xdr:col>
      <xdr:colOff>23092</xdr:colOff>
      <xdr:row>47</xdr:row>
      <xdr:rowOff>46182</xdr:rowOff>
    </xdr:from>
    <xdr:to>
      <xdr:col>22</xdr:col>
      <xdr:colOff>768739</xdr:colOff>
      <xdr:row>51</xdr:row>
      <xdr:rowOff>29882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A48FE2A-B625-4A13-86AC-7B36D77F0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5274" y="9097818"/>
          <a:ext cx="745647" cy="768792"/>
        </a:xfrm>
        <a:prstGeom prst="rect">
          <a:avLst/>
        </a:prstGeom>
      </xdr:spPr>
    </xdr:pic>
    <xdr:clientData/>
  </xdr:twoCellAnchor>
  <xdr:twoCellAnchor>
    <xdr:from>
      <xdr:col>14</xdr:col>
      <xdr:colOff>789215</xdr:colOff>
      <xdr:row>32</xdr:row>
      <xdr:rowOff>145141</xdr:rowOff>
    </xdr:from>
    <xdr:to>
      <xdr:col>15</xdr:col>
      <xdr:colOff>680358</xdr:colOff>
      <xdr:row>36</xdr:row>
      <xdr:rowOff>41996</xdr:rowOff>
    </xdr:to>
    <xdr:sp macro="" textlink="">
      <xdr:nvSpPr>
        <xdr:cNvPr id="272" name="Rectángulo 271">
          <a:extLst>
            <a:ext uri="{FF2B5EF4-FFF2-40B4-BE49-F238E27FC236}">
              <a16:creationId xmlns:a16="http://schemas.microsoft.com/office/drawing/2014/main" id="{5009C59C-BC99-4C45-9AEE-206B43063F2F}"/>
            </a:ext>
          </a:extLst>
        </xdr:cNvPr>
        <xdr:cNvSpPr/>
      </xdr:nvSpPr>
      <xdr:spPr>
        <a:xfrm>
          <a:off x="11638644" y="6359070"/>
          <a:ext cx="834571" cy="695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Derrames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223424</xdr:colOff>
      <xdr:row>32</xdr:row>
      <xdr:rowOff>107062</xdr:rowOff>
    </xdr:from>
    <xdr:to>
      <xdr:col>15</xdr:col>
      <xdr:colOff>263074</xdr:colOff>
      <xdr:row>32</xdr:row>
      <xdr:rowOff>145141</xdr:rowOff>
    </xdr:to>
    <xdr:cxnSp macro="">
      <xdr:nvCxnSpPr>
        <xdr:cNvPr id="277" name="Conector: angular 276">
          <a:extLst>
            <a:ext uri="{FF2B5EF4-FFF2-40B4-BE49-F238E27FC236}">
              <a16:creationId xmlns:a16="http://schemas.microsoft.com/office/drawing/2014/main" id="{1D1B4706-93B1-4BED-8EEB-EC56D467A766}"/>
            </a:ext>
          </a:extLst>
        </xdr:cNvPr>
        <xdr:cNvCxnSpPr>
          <a:cxnSpLocks/>
          <a:stCxn id="272" idx="0"/>
          <a:endCxn id="83" idx="0"/>
        </xdr:cNvCxnSpPr>
      </xdr:nvCxnSpPr>
      <xdr:spPr>
        <a:xfrm rot="16200000" flipV="1">
          <a:off x="10728923" y="5032063"/>
          <a:ext cx="38079" cy="2615936"/>
        </a:xfrm>
        <a:prstGeom prst="bentConnector3">
          <a:avLst>
            <a:gd name="adj1" fmla="val 700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235004</xdr:colOff>
      <xdr:row>31</xdr:row>
      <xdr:rowOff>9483</xdr:rowOff>
    </xdr:from>
    <xdr:to>
      <xdr:col>13</xdr:col>
      <xdr:colOff>636322</xdr:colOff>
      <xdr:row>33</xdr:row>
      <xdr:rowOff>12255</xdr:rowOff>
    </xdr:to>
    <xdr:sp macro="" textlink="">
      <xdr:nvSpPr>
        <xdr:cNvPr id="280" name="Rectángulo 279">
          <a:extLst>
            <a:ext uri="{FF2B5EF4-FFF2-40B4-BE49-F238E27FC236}">
              <a16:creationId xmlns:a16="http://schemas.microsoft.com/office/drawing/2014/main" id="{FBC2424F-1719-4886-A3B0-6326620C3BF4}"/>
            </a:ext>
          </a:extLst>
        </xdr:cNvPr>
        <xdr:cNvSpPr/>
      </xdr:nvSpPr>
      <xdr:spPr>
        <a:xfrm>
          <a:off x="9446239" y="5963542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derrames</a:t>
          </a:r>
        </a:p>
      </xdr:txBody>
    </xdr:sp>
    <xdr:clientData/>
  </xdr:twoCellAnchor>
  <xdr:twoCellAnchor>
    <xdr:from>
      <xdr:col>14</xdr:col>
      <xdr:colOff>740976</xdr:colOff>
      <xdr:row>40</xdr:row>
      <xdr:rowOff>145462</xdr:rowOff>
    </xdr:from>
    <xdr:to>
      <xdr:col>15</xdr:col>
      <xdr:colOff>632119</xdr:colOff>
      <xdr:row>44</xdr:row>
      <xdr:rowOff>62593</xdr:rowOff>
    </xdr:to>
    <xdr:sp macro="" textlink="">
      <xdr:nvSpPr>
        <xdr:cNvPr id="283" name="Rectángulo 282">
          <a:extLst>
            <a:ext uri="{FF2B5EF4-FFF2-40B4-BE49-F238E27FC236}">
              <a16:creationId xmlns:a16="http://schemas.microsoft.com/office/drawing/2014/main" id="{3B2FD749-CF1D-4F9F-9F00-D86879390EA2}"/>
            </a:ext>
          </a:extLst>
        </xdr:cNvPr>
        <xdr:cNvSpPr/>
      </xdr:nvSpPr>
      <xdr:spPr>
        <a:xfrm>
          <a:off x="11580800" y="7847638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Chunk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235966</xdr:colOff>
      <xdr:row>47</xdr:row>
      <xdr:rowOff>133508</xdr:rowOff>
    </xdr:from>
    <xdr:to>
      <xdr:col>17</xdr:col>
      <xdr:colOff>306403</xdr:colOff>
      <xdr:row>51</xdr:row>
      <xdr:rowOff>35697</xdr:rowOff>
    </xdr:to>
    <xdr:sp macro="" textlink="">
      <xdr:nvSpPr>
        <xdr:cNvPr id="289" name="Rectángulo 288">
          <a:extLst>
            <a:ext uri="{FF2B5EF4-FFF2-40B4-BE49-F238E27FC236}">
              <a16:creationId xmlns:a16="http://schemas.microsoft.com/office/drawing/2014/main" id="{D234010C-AEDA-4593-9905-CB4B5F53D6B7}"/>
            </a:ext>
          </a:extLst>
        </xdr:cNvPr>
        <xdr:cNvSpPr/>
      </xdr:nvSpPr>
      <xdr:spPr>
        <a:xfrm>
          <a:off x="12779084" y="9180390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Chip Fresco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251172</xdr:colOff>
      <xdr:row>40</xdr:row>
      <xdr:rowOff>120404</xdr:rowOff>
    </xdr:from>
    <xdr:to>
      <xdr:col>15</xdr:col>
      <xdr:colOff>290822</xdr:colOff>
      <xdr:row>40</xdr:row>
      <xdr:rowOff>158483</xdr:rowOff>
    </xdr:to>
    <xdr:cxnSp macro="">
      <xdr:nvCxnSpPr>
        <xdr:cNvPr id="296" name="Conector: angular 295">
          <a:extLst>
            <a:ext uri="{FF2B5EF4-FFF2-40B4-BE49-F238E27FC236}">
              <a16:creationId xmlns:a16="http://schemas.microsoft.com/office/drawing/2014/main" id="{4209D8BB-C717-4362-AEA1-16416AD89390}"/>
            </a:ext>
          </a:extLst>
        </xdr:cNvPr>
        <xdr:cNvCxnSpPr>
          <a:cxnSpLocks/>
        </xdr:cNvCxnSpPr>
      </xdr:nvCxnSpPr>
      <xdr:spPr>
        <a:xfrm rot="16200000" flipV="1">
          <a:off x="10748134" y="6536853"/>
          <a:ext cx="38079" cy="2609533"/>
        </a:xfrm>
        <a:prstGeom prst="bentConnector3">
          <a:avLst>
            <a:gd name="adj1" fmla="val 8909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210457</xdr:colOff>
      <xdr:row>39</xdr:row>
      <xdr:rowOff>53772</xdr:rowOff>
    </xdr:from>
    <xdr:to>
      <xdr:col>13</xdr:col>
      <xdr:colOff>611775</xdr:colOff>
      <xdr:row>41</xdr:row>
      <xdr:rowOff>56543</xdr:rowOff>
    </xdr:to>
    <xdr:sp macro="" textlink="">
      <xdr:nvSpPr>
        <xdr:cNvPr id="297" name="Rectángulo 296">
          <a:extLst>
            <a:ext uri="{FF2B5EF4-FFF2-40B4-BE49-F238E27FC236}">
              <a16:creationId xmlns:a16="http://schemas.microsoft.com/office/drawing/2014/main" id="{D3D3A96F-6FCB-4A2A-930C-F58EA905E3AC}"/>
            </a:ext>
          </a:extLst>
        </xdr:cNvPr>
        <xdr:cNvSpPr/>
      </xdr:nvSpPr>
      <xdr:spPr>
        <a:xfrm>
          <a:off x="9421692" y="7561713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Chunk</a:t>
          </a:r>
        </a:p>
      </xdr:txBody>
    </xdr:sp>
    <xdr:clientData/>
  </xdr:twoCellAnchor>
  <xdr:twoCellAnchor>
    <xdr:from>
      <xdr:col>12</xdr:col>
      <xdr:colOff>213251</xdr:colOff>
      <xdr:row>33</xdr:row>
      <xdr:rowOff>91930</xdr:rowOff>
    </xdr:from>
    <xdr:to>
      <xdr:col>13</xdr:col>
      <xdr:colOff>623454</xdr:colOff>
      <xdr:row>35</xdr:row>
      <xdr:rowOff>103910</xdr:rowOff>
    </xdr:to>
    <xdr:sp macro="" textlink="">
      <xdr:nvSpPr>
        <xdr:cNvPr id="298" name="Rectángulo 297">
          <a:extLst>
            <a:ext uri="{FF2B5EF4-FFF2-40B4-BE49-F238E27FC236}">
              <a16:creationId xmlns:a16="http://schemas.microsoft.com/office/drawing/2014/main" id="{26D11B44-DCC3-4B13-9771-77AA3B3B98AD}"/>
            </a:ext>
          </a:extLst>
        </xdr:cNvPr>
        <xdr:cNvSpPr/>
      </xdr:nvSpPr>
      <xdr:spPr>
        <a:xfrm>
          <a:off x="9426524" y="6465021"/>
          <a:ext cx="1276112" cy="404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derrames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654727</xdr:colOff>
      <xdr:row>42</xdr:row>
      <xdr:rowOff>108857</xdr:rowOff>
    </xdr:from>
    <xdr:to>
      <xdr:col>13</xdr:col>
      <xdr:colOff>725715</xdr:colOff>
      <xdr:row>44</xdr:row>
      <xdr:rowOff>78528</xdr:rowOff>
    </xdr:to>
    <xdr:sp macro="" textlink="">
      <xdr:nvSpPr>
        <xdr:cNvPr id="299" name="Rectángulo 298">
          <a:extLst>
            <a:ext uri="{FF2B5EF4-FFF2-40B4-BE49-F238E27FC236}">
              <a16:creationId xmlns:a16="http://schemas.microsoft.com/office/drawing/2014/main" id="{5B5891B5-168C-4254-B27F-67B70C9840AE}"/>
            </a:ext>
          </a:extLst>
        </xdr:cNvPr>
        <xdr:cNvSpPr/>
      </xdr:nvSpPr>
      <xdr:spPr>
        <a:xfrm>
          <a:off x="9871298" y="8318500"/>
          <a:ext cx="941846" cy="3506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Chunk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632119</xdr:colOff>
      <xdr:row>37</xdr:row>
      <xdr:rowOff>34636</xdr:rowOff>
    </xdr:from>
    <xdr:to>
      <xdr:col>17</xdr:col>
      <xdr:colOff>796636</xdr:colOff>
      <xdr:row>42</xdr:row>
      <xdr:rowOff>98255</xdr:rowOff>
    </xdr:to>
    <xdr:cxnSp macro="">
      <xdr:nvCxnSpPr>
        <xdr:cNvPr id="303" name="Conector: angular 302">
          <a:extLst>
            <a:ext uri="{FF2B5EF4-FFF2-40B4-BE49-F238E27FC236}">
              <a16:creationId xmlns:a16="http://schemas.microsoft.com/office/drawing/2014/main" id="{5E789074-73BE-4107-B36E-8D21D2D8BC3B}"/>
            </a:ext>
          </a:extLst>
        </xdr:cNvPr>
        <xdr:cNvCxnSpPr>
          <a:cxnSpLocks/>
          <a:stCxn id="283" idx="3"/>
        </xdr:cNvCxnSpPr>
      </xdr:nvCxnSpPr>
      <xdr:spPr>
        <a:xfrm flipV="1">
          <a:off x="14579028" y="7250545"/>
          <a:ext cx="1688517" cy="1044983"/>
        </a:xfrm>
        <a:prstGeom prst="bentConnector3">
          <a:avLst>
            <a:gd name="adj1" fmla="val 582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37</xdr:row>
      <xdr:rowOff>174401</xdr:rowOff>
    </xdr:from>
    <xdr:to>
      <xdr:col>17</xdr:col>
      <xdr:colOff>702235</xdr:colOff>
      <xdr:row>49</xdr:row>
      <xdr:rowOff>84603</xdr:rowOff>
    </xdr:to>
    <xdr:cxnSp macro="">
      <xdr:nvCxnSpPr>
        <xdr:cNvPr id="314" name="Conector: angular 313">
          <a:extLst>
            <a:ext uri="{FF2B5EF4-FFF2-40B4-BE49-F238E27FC236}">
              <a16:creationId xmlns:a16="http://schemas.microsoft.com/office/drawing/2014/main" id="{E1CAD6A9-694A-4564-9FFD-3B5581EFAD0B}"/>
            </a:ext>
          </a:extLst>
        </xdr:cNvPr>
        <xdr:cNvCxnSpPr>
          <a:cxnSpLocks/>
          <a:stCxn id="289" idx="3"/>
          <a:endCxn id="133" idx="1"/>
        </xdr:cNvCxnSpPr>
      </xdr:nvCxnSpPr>
      <xdr:spPr>
        <a:xfrm flipV="1">
          <a:off x="15777312" y="7390310"/>
          <a:ext cx="395832" cy="22539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49</xdr:row>
      <xdr:rowOff>84603</xdr:rowOff>
    </xdr:from>
    <xdr:to>
      <xdr:col>18</xdr:col>
      <xdr:colOff>123336</xdr:colOff>
      <xdr:row>54</xdr:row>
      <xdr:rowOff>8872</xdr:rowOff>
    </xdr:to>
    <xdr:cxnSp macro="">
      <xdr:nvCxnSpPr>
        <xdr:cNvPr id="317" name="Conector: angular 316">
          <a:extLst>
            <a:ext uri="{FF2B5EF4-FFF2-40B4-BE49-F238E27FC236}">
              <a16:creationId xmlns:a16="http://schemas.microsoft.com/office/drawing/2014/main" id="{31B56C9A-D19A-40A9-ADFF-8C66C2274A81}"/>
            </a:ext>
          </a:extLst>
        </xdr:cNvPr>
        <xdr:cNvCxnSpPr>
          <a:cxnSpLocks/>
          <a:stCxn id="289" idx="3"/>
          <a:endCxn id="134" idx="1"/>
        </xdr:cNvCxnSpPr>
      </xdr:nvCxnSpPr>
      <xdr:spPr>
        <a:xfrm>
          <a:off x="13606767" y="9586512"/>
          <a:ext cx="879114" cy="905633"/>
        </a:xfrm>
        <a:prstGeom prst="bentConnector3">
          <a:avLst>
            <a:gd name="adj1" fmla="val 158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652185</xdr:colOff>
      <xdr:row>51</xdr:row>
      <xdr:rowOff>35697</xdr:rowOff>
    </xdr:from>
    <xdr:to>
      <xdr:col>18</xdr:col>
      <xdr:colOff>310292</xdr:colOff>
      <xdr:row>60</xdr:row>
      <xdr:rowOff>17178</xdr:rowOff>
    </xdr:to>
    <xdr:cxnSp macro="">
      <xdr:nvCxnSpPr>
        <xdr:cNvPr id="324" name="Conector: angular 323">
          <a:extLst>
            <a:ext uri="{FF2B5EF4-FFF2-40B4-BE49-F238E27FC236}">
              <a16:creationId xmlns:a16="http://schemas.microsoft.com/office/drawing/2014/main" id="{E25E5325-C78D-46FE-A0F1-3C85A62AE0A4}"/>
            </a:ext>
          </a:extLst>
        </xdr:cNvPr>
        <xdr:cNvCxnSpPr>
          <a:cxnSpLocks/>
          <a:stCxn id="289" idx="2"/>
          <a:endCxn id="136" idx="0"/>
        </xdr:cNvCxnSpPr>
      </xdr:nvCxnSpPr>
      <xdr:spPr>
        <a:xfrm rot="16200000" flipH="1">
          <a:off x="13070969" y="9983855"/>
          <a:ext cx="1729598" cy="1480930"/>
        </a:xfrm>
        <a:prstGeom prst="bentConnector3">
          <a:avLst>
            <a:gd name="adj1" fmla="val 996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438494</xdr:colOff>
      <xdr:row>47</xdr:row>
      <xdr:rowOff>184402</xdr:rowOff>
    </xdr:from>
    <xdr:to>
      <xdr:col>16</xdr:col>
      <xdr:colOff>572284</xdr:colOff>
      <xdr:row>49</xdr:row>
      <xdr:rowOff>183098</xdr:rowOff>
    </xdr:to>
    <xdr:sp macro="" textlink="">
      <xdr:nvSpPr>
        <xdr:cNvPr id="329" name="Rectángulo 328">
          <a:extLst>
            <a:ext uri="{FF2B5EF4-FFF2-40B4-BE49-F238E27FC236}">
              <a16:creationId xmlns:a16="http://schemas.microsoft.com/office/drawing/2014/main" id="{CBE34795-4E66-45A6-8DD9-4722F7FD0B7B}"/>
            </a:ext>
          </a:extLst>
        </xdr:cNvPr>
        <xdr:cNvSpPr/>
      </xdr:nvSpPr>
      <xdr:spPr>
        <a:xfrm>
          <a:off x="10525923" y="9373759"/>
          <a:ext cx="2601218" cy="3978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 reharneo Chip F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715818</xdr:colOff>
      <xdr:row>33</xdr:row>
      <xdr:rowOff>173182</xdr:rowOff>
    </xdr:from>
    <xdr:to>
      <xdr:col>17</xdr:col>
      <xdr:colOff>210646</xdr:colOff>
      <xdr:row>35</xdr:row>
      <xdr:rowOff>27825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1FA4E97E-15CB-48F3-A71C-BBBA5EEE9B6A}"/>
            </a:ext>
          </a:extLst>
        </xdr:cNvPr>
        <xdr:cNvSpPr/>
      </xdr:nvSpPr>
      <xdr:spPr>
        <a:xfrm>
          <a:off x="15424727" y="6569364"/>
          <a:ext cx="256828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1027546</xdr:colOff>
      <xdr:row>12</xdr:row>
      <xdr:rowOff>80819</xdr:rowOff>
    </xdr:from>
    <xdr:to>
      <xdr:col>17</xdr:col>
      <xdr:colOff>70687</xdr:colOff>
      <xdr:row>33</xdr:row>
      <xdr:rowOff>138546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53801CE-8FEE-4415-A0D8-6F64154F1E59}"/>
            </a:ext>
          </a:extLst>
        </xdr:cNvPr>
        <xdr:cNvCxnSpPr/>
      </xdr:nvCxnSpPr>
      <xdr:spPr>
        <a:xfrm rot="16200000" flipV="1">
          <a:off x="9115844" y="143612"/>
          <a:ext cx="4179454" cy="8672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uevo%20Ingreso%20Dat%20Planta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ierre%20Noviembre%20Pellet%20Quincena%20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ierre%20Octubre%20Pellet%20Mes%20Final%20V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evo Ingreso Dat Planta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Planta Pellets"/>
      <sheetName val="Nuevo Ingreso Dat Plantas"/>
      <sheetName val="Hoja1"/>
      <sheetName val="Nodos Variac Inventarios"/>
      <sheetName val="Bal Los Colorados"/>
      <sheetName val="Diag Proc Los Colorados"/>
      <sheetName val="Bal Fet Pta Pellets"/>
      <sheetName val="Diag Proc Pta Pellets"/>
    </sheetNames>
    <sheetDataSet>
      <sheetData sheetId="0"/>
      <sheetData sheetId="1">
        <row r="50">
          <cell r="C50">
            <v>324942</v>
          </cell>
        </row>
        <row r="51">
          <cell r="C51">
            <v>66934</v>
          </cell>
          <cell r="E51">
            <v>7.0064735002166798E-3</v>
          </cell>
        </row>
        <row r="59">
          <cell r="C59">
            <v>356568</v>
          </cell>
        </row>
        <row r="67">
          <cell r="C67">
            <v>0</v>
          </cell>
        </row>
        <row r="68">
          <cell r="C68">
            <v>136144</v>
          </cell>
          <cell r="E68">
            <v>8.7809355428950395E-2</v>
          </cell>
        </row>
        <row r="69">
          <cell r="E69">
            <v>7.9699999999999993E-2</v>
          </cell>
        </row>
        <row r="73">
          <cell r="C73">
            <v>8105.2783565110067</v>
          </cell>
          <cell r="E73">
            <v>5.0000000000000001E-3</v>
          </cell>
        </row>
        <row r="75">
          <cell r="E75">
            <v>5.0000000000000001E-3</v>
          </cell>
        </row>
        <row r="76">
          <cell r="E76">
            <v>9.1000000000000004E-3</v>
          </cell>
        </row>
        <row r="80">
          <cell r="C80">
            <v>0</v>
          </cell>
        </row>
        <row r="82">
          <cell r="E82">
            <v>0</v>
          </cell>
        </row>
        <row r="83">
          <cell r="E83">
            <v>9.4999999999999998E-3</v>
          </cell>
        </row>
        <row r="86">
          <cell r="E86">
            <v>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evo Ingreso Dat Plantas"/>
      <sheetName val="Hoja1"/>
      <sheetName val="Nodos Variac Inventarios"/>
      <sheetName val="Bal Los Colorados"/>
      <sheetName val="Diag Proc Los Colorados"/>
      <sheetName val="Bal Fet Pta Pellets"/>
      <sheetName val="Diag Proc Pta Pellets"/>
    </sheetNames>
    <sheetDataSet>
      <sheetData sheetId="0">
        <row r="50">
          <cell r="E50">
            <v>8.5563744417889807E-3</v>
          </cell>
        </row>
        <row r="51">
          <cell r="E51">
            <v>7.6134318489359098E-3</v>
          </cell>
        </row>
        <row r="68">
          <cell r="E68">
            <v>8.7098512769289593E-2</v>
          </cell>
        </row>
        <row r="73">
          <cell r="E73">
            <v>5.0000000000000001E-3</v>
          </cell>
        </row>
        <row r="75">
          <cell r="E75">
            <v>5.0000000000000001E-3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6"/>
  <sheetViews>
    <sheetView zoomScale="210" zoomScaleNormal="210" workbookViewId="0">
      <selection activeCell="C20" sqref="C20"/>
    </sheetView>
  </sheetViews>
  <sheetFormatPr baseColWidth="10" defaultRowHeight="15" outlineLevelRow="1"/>
  <cols>
    <col min="2" max="2" width="29.1640625" bestFit="1" customWidth="1"/>
    <col min="3" max="3" width="25.5" style="121" customWidth="1"/>
    <col min="4" max="4" width="15.5" bestFit="1" customWidth="1"/>
  </cols>
  <sheetData>
    <row r="4" spans="2:9">
      <c r="C4" s="121" t="s">
        <v>116</v>
      </c>
      <c r="D4" t="s">
        <v>35</v>
      </c>
      <c r="E4" t="s">
        <v>36</v>
      </c>
      <c r="F4" t="s">
        <v>9</v>
      </c>
    </row>
    <row r="5" spans="2:9" hidden="1" outlineLevel="1">
      <c r="B5" s="35" t="s">
        <v>22</v>
      </c>
      <c r="C5" s="123"/>
      <c r="D5" s="102" t="e">
        <f>+#REF!</f>
        <v>#REF!</v>
      </c>
      <c r="E5" s="103" t="e">
        <f t="shared" ref="E5:E10" si="0">+ABS(D5)</f>
        <v>#REF!</v>
      </c>
      <c r="F5" s="104" t="e">
        <f>+#REF!</f>
        <v>#REF!</v>
      </c>
      <c r="G5" s="105" t="e">
        <f>+IF(D5=0,0,IF(D5&lt;0,1,-1))</f>
        <v>#REF!</v>
      </c>
      <c r="H5" s="35" t="e">
        <f>+IF(G5=1,"consume",IF(G5=0,"mantiene","aumenta"))</f>
        <v>#REF!</v>
      </c>
      <c r="I5" t="e">
        <f>+IF(D5&gt;0,1,IF(D5&lt;&gt;0,-1,0))</f>
        <v>#REF!</v>
      </c>
    </row>
    <row r="6" spans="2:9" hidden="1" outlineLevel="1">
      <c r="B6" s="35" t="s">
        <v>23</v>
      </c>
      <c r="C6" s="123"/>
      <c r="D6" s="102" t="e">
        <f>+#REF!</f>
        <v>#REF!</v>
      </c>
      <c r="E6" s="103" t="e">
        <f t="shared" ref="E6" si="1">+ABS(D6)</f>
        <v>#REF!</v>
      </c>
      <c r="F6" s="104" t="e">
        <f>+#REF!</f>
        <v>#REF!</v>
      </c>
      <c r="G6" s="105" t="e">
        <f t="shared" ref="G6:G7" si="2">+IF(D6=0,0,IF(D6&lt;0,1,-1))</f>
        <v>#REF!</v>
      </c>
      <c r="H6" s="35" t="e">
        <f t="shared" ref="H6:H14" si="3">+IF(G6=1,"consume",IF(G6=0,"mantiene","aumenta"))</f>
        <v>#REF!</v>
      </c>
      <c r="I6" t="e">
        <f t="shared" ref="I6:I14" si="4">+IF(D6&gt;0,1,IF(D6&lt;&gt;0,-1,0))</f>
        <v>#REF!</v>
      </c>
    </row>
    <row r="7" spans="2:9" hidden="1" outlineLevel="1">
      <c r="B7" s="35" t="s">
        <v>24</v>
      </c>
      <c r="C7" s="123"/>
      <c r="D7" s="112" t="e">
        <f>+'Bal Los Colorados'!D56</f>
        <v>#REF!</v>
      </c>
      <c r="E7" s="103" t="e">
        <f t="shared" si="0"/>
        <v>#REF!</v>
      </c>
      <c r="F7" s="104" t="e">
        <f>+'Bal Los Colorados'!F56</f>
        <v>#REF!</v>
      </c>
      <c r="G7" s="105" t="e">
        <f t="shared" si="2"/>
        <v>#REF!</v>
      </c>
      <c r="H7" s="35" t="e">
        <f t="shared" si="3"/>
        <v>#REF!</v>
      </c>
      <c r="I7" t="e">
        <f t="shared" si="4"/>
        <v>#REF!</v>
      </c>
    </row>
    <row r="8" spans="2:9" hidden="1" outlineLevel="1">
      <c r="B8" s="111" t="s">
        <v>26</v>
      </c>
      <c r="C8" s="111"/>
      <c r="D8" s="112" t="e">
        <f>+#REF!</f>
        <v>#REF!</v>
      </c>
      <c r="E8" s="103" t="e">
        <f t="shared" si="0"/>
        <v>#REF!</v>
      </c>
      <c r="F8" s="104" t="e">
        <f>+#REF!</f>
        <v>#REF!</v>
      </c>
      <c r="G8" s="105" t="e">
        <f t="shared" ref="G8:G9" si="5">+IF(D8=0,0,IF(D8&lt;0,1,-1))</f>
        <v>#REF!</v>
      </c>
      <c r="H8" s="35" t="e">
        <f t="shared" si="3"/>
        <v>#REF!</v>
      </c>
      <c r="I8" t="e">
        <f t="shared" si="4"/>
        <v>#REF!</v>
      </c>
    </row>
    <row r="9" spans="2:9" hidden="1" outlineLevel="1">
      <c r="B9" s="35" t="s">
        <v>11</v>
      </c>
      <c r="C9" s="123"/>
      <c r="D9" s="102" t="e">
        <f>+#REF!</f>
        <v>#REF!</v>
      </c>
      <c r="E9" s="103" t="e">
        <f t="shared" si="0"/>
        <v>#REF!</v>
      </c>
      <c r="F9" s="104" t="e">
        <f>+#REF!</f>
        <v>#REF!</v>
      </c>
      <c r="G9" s="105" t="e">
        <f t="shared" si="5"/>
        <v>#REF!</v>
      </c>
      <c r="H9" s="35" t="e">
        <f t="shared" si="3"/>
        <v>#REF!</v>
      </c>
      <c r="I9" t="e">
        <f t="shared" si="4"/>
        <v>#REF!</v>
      </c>
    </row>
    <row r="10" spans="2:9" collapsed="1">
      <c r="B10" s="106" t="s">
        <v>38</v>
      </c>
      <c r="C10" s="144" t="e">
        <f>+#REF!</f>
        <v>#REF!</v>
      </c>
      <c r="D10" s="107" t="e">
        <f>+#REF!</f>
        <v>#REF!</v>
      </c>
      <c r="E10" s="108" t="e">
        <f t="shared" si="0"/>
        <v>#REF!</v>
      </c>
      <c r="F10" s="109" t="e">
        <f>+#REF!</f>
        <v>#REF!</v>
      </c>
      <c r="G10" s="110" t="e">
        <f>+IF(D10=0,0,IF(D10&lt;0,1,-1))</f>
        <v>#REF!</v>
      </c>
      <c r="H10" s="106" t="e">
        <f t="shared" si="3"/>
        <v>#REF!</v>
      </c>
      <c r="I10" t="e">
        <f t="shared" si="4"/>
        <v>#REF!</v>
      </c>
    </row>
    <row r="11" spans="2:9">
      <c r="B11" s="106" t="s">
        <v>30</v>
      </c>
      <c r="C11" s="144" t="e">
        <f>+#REF!</f>
        <v>#REF!</v>
      </c>
      <c r="D11" s="107" t="e">
        <f>+#REF!</f>
        <v>#REF!</v>
      </c>
      <c r="E11" s="108" t="e">
        <f t="shared" ref="E11:E22" si="6">+ABS(D11)</f>
        <v>#REF!</v>
      </c>
      <c r="F11" s="109" t="e">
        <f>+#REF!</f>
        <v>#REF!</v>
      </c>
      <c r="G11" s="110" t="e">
        <f t="shared" ref="G11" si="7">+IF(D11=0,0,IF(D11&lt;0,1,-1))</f>
        <v>#REF!</v>
      </c>
      <c r="H11" s="106" t="e">
        <f t="shared" si="3"/>
        <v>#REF!</v>
      </c>
      <c r="I11" t="e">
        <f t="shared" si="4"/>
        <v>#REF!</v>
      </c>
    </row>
    <row r="12" spans="2:9">
      <c r="B12" s="106" t="s">
        <v>55</v>
      </c>
      <c r="C12" s="144" t="e">
        <f>+#REF!</f>
        <v>#REF!</v>
      </c>
      <c r="D12" s="107" t="e">
        <f>+#REF!</f>
        <v>#REF!</v>
      </c>
      <c r="E12" s="108" t="e">
        <f t="shared" si="6"/>
        <v>#REF!</v>
      </c>
      <c r="F12" s="109" t="e">
        <f>+#REF!</f>
        <v>#REF!</v>
      </c>
      <c r="G12" s="110" t="e">
        <f t="shared" ref="G12" si="8">+IF(D12=0,0,IF(D12&lt;0,1,-1))</f>
        <v>#REF!</v>
      </c>
      <c r="H12" s="106" t="e">
        <f t="shared" si="3"/>
        <v>#REF!</v>
      </c>
      <c r="I12" t="e">
        <f t="shared" si="4"/>
        <v>#REF!</v>
      </c>
    </row>
    <row r="13" spans="2:9">
      <c r="B13" s="106" t="s">
        <v>12</v>
      </c>
      <c r="C13" s="144" t="e">
        <f>+#REF!</f>
        <v>#REF!</v>
      </c>
      <c r="D13" s="107" t="e">
        <f>+#REF!</f>
        <v>#REF!</v>
      </c>
      <c r="E13" s="108" t="e">
        <f t="shared" si="6"/>
        <v>#REF!</v>
      </c>
      <c r="F13" s="109" t="e">
        <f>+#REF!</f>
        <v>#REF!</v>
      </c>
      <c r="G13" s="110" t="e">
        <f>+IF(D13=0,0,IF(D13&lt;0,1,-1))</f>
        <v>#REF!</v>
      </c>
      <c r="H13" s="106" t="e">
        <f t="shared" si="3"/>
        <v>#REF!</v>
      </c>
      <c r="I13" t="e">
        <f t="shared" si="4"/>
        <v>#REF!</v>
      </c>
    </row>
    <row r="14" spans="2:9">
      <c r="B14" s="106" t="s">
        <v>13</v>
      </c>
      <c r="C14" s="144" t="e">
        <f>+#REF!</f>
        <v>#REF!</v>
      </c>
      <c r="D14" s="107" t="e">
        <f>+#REF!</f>
        <v>#REF!</v>
      </c>
      <c r="E14" s="108" t="e">
        <f t="shared" si="6"/>
        <v>#REF!</v>
      </c>
      <c r="F14" s="109" t="e">
        <f>+#REF!</f>
        <v>#REF!</v>
      </c>
      <c r="G14" s="110" t="e">
        <f t="shared" ref="G14" si="9">+IF(D14=0,0,IF(D14&lt;0,1,-1))</f>
        <v>#REF!</v>
      </c>
      <c r="H14" s="106" t="e">
        <f t="shared" si="3"/>
        <v>#REF!</v>
      </c>
      <c r="I14" t="e">
        <f t="shared" si="4"/>
        <v>#REF!</v>
      </c>
    </row>
    <row r="15" spans="2:9">
      <c r="B15" s="106" t="s">
        <v>66</v>
      </c>
      <c r="C15" s="144"/>
      <c r="D15" s="140">
        <f>+Utilidad!D95</f>
        <v>0</v>
      </c>
      <c r="E15" s="108">
        <f t="shared" si="6"/>
        <v>0</v>
      </c>
      <c r="F15" s="109" t="e">
        <f>+#REF!</f>
        <v>#REF!</v>
      </c>
      <c r="G15" s="110">
        <f t="shared" ref="G15" si="10">+IF(D15=0,0,IF(D15&lt;0,1,-1))</f>
        <v>0</v>
      </c>
      <c r="H15" s="106" t="str">
        <f t="shared" ref="H15" si="11">+IF(G15=1,"consume",IF(G15=0,"mantiene","aumenta"))</f>
        <v>mantiene</v>
      </c>
      <c r="I15">
        <f t="shared" ref="I15:I16" si="12">+IF(D15&gt;0,1,IF(D15&lt;&gt;0,-1,0))</f>
        <v>0</v>
      </c>
    </row>
    <row r="16" spans="2:9">
      <c r="B16" s="106" t="s">
        <v>69</v>
      </c>
      <c r="C16" s="144"/>
      <c r="D16" s="140">
        <f>+Utilidad!D93</f>
        <v>0</v>
      </c>
      <c r="E16" s="108">
        <f t="shared" si="6"/>
        <v>0</v>
      </c>
      <c r="F16" s="109" t="e">
        <f>+#REF!</f>
        <v>#REF!</v>
      </c>
      <c r="G16" s="110">
        <f t="shared" ref="G16" si="13">+IF(D16=0,0,IF(D16&lt;0,1,-1))</f>
        <v>0</v>
      </c>
      <c r="H16" s="106" t="str">
        <f t="shared" ref="H16" si="14">+IF(G16=1,"consume",IF(G16=0,"mantiene","aumenta"))</f>
        <v>mantiene</v>
      </c>
      <c r="I16">
        <f t="shared" si="12"/>
        <v>0</v>
      </c>
    </row>
    <row r="17" spans="2:9">
      <c r="B17" s="106" t="s">
        <v>31</v>
      </c>
      <c r="C17" s="144" t="e">
        <f>+#REF!</f>
        <v>#REF!</v>
      </c>
      <c r="D17" s="140">
        <f>+Utilidad!D100</f>
        <v>0</v>
      </c>
      <c r="E17" s="108">
        <f t="shared" si="6"/>
        <v>0</v>
      </c>
      <c r="F17" s="141">
        <f>+Utilidad!F100</f>
        <v>0</v>
      </c>
      <c r="G17" s="110">
        <f t="shared" ref="G17:G19" si="15">+IF(D17=0,0,IF(D17&lt;0,1,-1))</f>
        <v>0</v>
      </c>
      <c r="H17" s="106" t="str">
        <f>+IF(G17=1,"consume",IF(G17=0,"mantiene","aumenta"))</f>
        <v>mantiene</v>
      </c>
      <c r="I17">
        <f>+IF(D17&gt;0,1,IF(D17&lt;&gt;0,-1,0))</f>
        <v>0</v>
      </c>
    </row>
    <row r="18" spans="2:9">
      <c r="B18" s="106" t="s">
        <v>67</v>
      </c>
      <c r="C18" s="144" t="e">
        <f>+#REF!</f>
        <v>#REF!</v>
      </c>
      <c r="D18" s="140">
        <f>+Utilidad!D102</f>
        <v>0</v>
      </c>
      <c r="E18" s="108">
        <f t="shared" si="6"/>
        <v>0</v>
      </c>
      <c r="F18" s="109" t="e">
        <f>+#REF!</f>
        <v>#REF!</v>
      </c>
      <c r="G18" s="110">
        <f t="shared" si="15"/>
        <v>0</v>
      </c>
      <c r="H18" s="106" t="str">
        <f t="shared" ref="H18" si="16">+IF(G18=1,"consume",IF(G18=0,"mantiene","aumenta"))</f>
        <v>mantiene</v>
      </c>
      <c r="I18">
        <f t="shared" ref="I18" si="17">+IF(D18&gt;0,1,IF(D18&lt;&gt;0,-1,0))</f>
        <v>0</v>
      </c>
    </row>
    <row r="19" spans="2:9">
      <c r="B19" s="106" t="s">
        <v>15</v>
      </c>
      <c r="C19" s="144" t="e">
        <f>+#REF!</f>
        <v>#REF!</v>
      </c>
      <c r="D19" s="140">
        <f>+Utilidad!D104</f>
        <v>0</v>
      </c>
      <c r="E19" s="108">
        <f t="shared" si="6"/>
        <v>0</v>
      </c>
      <c r="F19" s="109" t="e">
        <f>+#REF!</f>
        <v>#REF!</v>
      </c>
      <c r="G19" s="110">
        <f t="shared" si="15"/>
        <v>0</v>
      </c>
      <c r="H19" s="106" t="str">
        <f>+IF(G19=1,"consume",IF(G19=0,"mantiene","aumenta"))</f>
        <v>mantiene</v>
      </c>
      <c r="I19">
        <f>+IF(D19&gt;0,1,IF(D19&lt;&gt;0,-1,0))</f>
        <v>0</v>
      </c>
    </row>
    <row r="20" spans="2:9">
      <c r="B20" s="106" t="s">
        <v>14</v>
      </c>
      <c r="C20" s="144" t="e">
        <f>+#REF!</f>
        <v>#REF!</v>
      </c>
      <c r="D20" s="140">
        <f>+Utilidad!D121</f>
        <v>0</v>
      </c>
      <c r="E20" s="108">
        <f t="shared" si="6"/>
        <v>0</v>
      </c>
      <c r="F20" s="141">
        <f>+Utilidad!F121</f>
        <v>0</v>
      </c>
      <c r="G20" s="110">
        <f t="shared" ref="G20" si="18">+IF(D20=0,0,IF(D20&lt;0,1,-1))</f>
        <v>0</v>
      </c>
      <c r="H20" s="106" t="str">
        <f>+IF(G20=1,"consume",IF(G20=0,"mantiene","aumenta"))</f>
        <v>mantiene</v>
      </c>
      <c r="I20">
        <f>+IF(D20&gt;0,1,IF(D20&lt;&gt;0,-1,0))</f>
        <v>0</v>
      </c>
    </row>
    <row r="21" spans="2:9">
      <c r="B21" s="106" t="s">
        <v>32</v>
      </c>
      <c r="C21" s="144" t="e">
        <f>+#REF!</f>
        <v>#REF!</v>
      </c>
      <c r="D21" s="140">
        <f>+Utilidad!D123</f>
        <v>0</v>
      </c>
      <c r="E21" s="108">
        <f t="shared" si="6"/>
        <v>0</v>
      </c>
      <c r="F21" s="109" t="e">
        <f>+#REF!</f>
        <v>#REF!</v>
      </c>
      <c r="G21" s="110">
        <f t="shared" ref="G21" si="19">+IF(D21=0,0,IF(D21&lt;0,1,-1))</f>
        <v>0</v>
      </c>
      <c r="H21" s="106" t="str">
        <f>+IF(G21=1,"consume",IF(G21=0,"mantiene","aumenta"))</f>
        <v>mantiene</v>
      </c>
      <c r="I21">
        <f>+IF(D21&gt;0,1,IF(D21&lt;&gt;0,-1,0))</f>
        <v>0</v>
      </c>
    </row>
    <row r="22" spans="2:9">
      <c r="B22" s="106" t="s">
        <v>33</v>
      </c>
      <c r="C22" s="144" t="e">
        <f>+#REF!</f>
        <v>#REF!</v>
      </c>
      <c r="D22" s="140">
        <f>+Utilidad!D125</f>
        <v>0</v>
      </c>
      <c r="E22" s="108">
        <f t="shared" si="6"/>
        <v>0</v>
      </c>
      <c r="F22" s="141">
        <f>+Utilidad!F125</f>
        <v>0</v>
      </c>
      <c r="G22" s="110">
        <f t="shared" ref="G22" si="20">+IF(D22=0,0,IF(D22&lt;0,1,-1))</f>
        <v>0</v>
      </c>
      <c r="H22" s="106" t="str">
        <f>+IF(G22=1,"consume",IF(G22=0,"mantiene","aumenta"))</f>
        <v>mantiene</v>
      </c>
      <c r="I22">
        <f>+IF(D22&gt;0,1,IF(D22&lt;&gt;0,-1,0))</f>
        <v>0</v>
      </c>
    </row>
    <row r="26" spans="2:9">
      <c r="D26" s="12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AU123"/>
  <sheetViews>
    <sheetView topLeftCell="H34" zoomScale="70" zoomScaleNormal="70" workbookViewId="0">
      <selection activeCell="O67" sqref="O67"/>
    </sheetView>
  </sheetViews>
  <sheetFormatPr baseColWidth="10" defaultRowHeight="15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bestFit="1" customWidth="1"/>
    <col min="10" max="14" width="10.83203125" customWidth="1"/>
    <col min="15" max="15" width="10.5" customWidth="1"/>
    <col min="16" max="19" width="10.83203125" customWidth="1"/>
    <col min="21" max="21" width="14.5" customWidth="1"/>
    <col min="23" max="23" width="12.5" customWidth="1"/>
    <col min="24" max="24" width="12.5" bestFit="1" customWidth="1"/>
    <col min="26" max="26" width="10.5" customWidth="1"/>
    <col min="27" max="27" width="20.83203125" customWidth="1"/>
  </cols>
  <sheetData>
    <row r="1" spans="7:47" outlineLevel="1"/>
    <row r="2" spans="7:47" outlineLevel="1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9</v>
      </c>
      <c r="T2">
        <v>10</v>
      </c>
    </row>
    <row r="3" spans="7:47" s="2" customFormat="1" ht="51" customHeight="1" outlineLevel="1">
      <c r="J3" s="5" t="s">
        <v>0</v>
      </c>
      <c r="K3" s="3" t="s">
        <v>1</v>
      </c>
      <c r="L3" s="3" t="s">
        <v>2</v>
      </c>
      <c r="M3" s="5" t="s">
        <v>3</v>
      </c>
      <c r="N3" s="5" t="s">
        <v>4</v>
      </c>
      <c r="O3" s="3" t="s">
        <v>5</v>
      </c>
      <c r="P3" s="3" t="s">
        <v>6</v>
      </c>
      <c r="Q3" s="5" t="s">
        <v>7</v>
      </c>
      <c r="R3" s="3" t="s">
        <v>51</v>
      </c>
      <c r="S3" s="3" t="s">
        <v>25</v>
      </c>
      <c r="T3" s="5" t="s">
        <v>8</v>
      </c>
      <c r="U3" s="1"/>
      <c r="V3" s="1"/>
      <c r="W3" s="1" cm="1">
        <f t="array" ref="W3:AU14">+TRANSPOSE(I3:T27)</f>
        <v>0</v>
      </c>
      <c r="X3" s="1" t="e">
        <v>#VALUE!</v>
      </c>
      <c r="Y3" s="1" t="e">
        <v>#VALUE!</v>
      </c>
      <c r="Z3" s="1" t="e">
        <v>#VALUE!</v>
      </c>
      <c r="AA3" s="1" t="e">
        <v>#VALUE!</v>
      </c>
      <c r="AB3" s="1" t="e">
        <v>#VALUE!</v>
      </c>
      <c r="AC3" s="1" t="e">
        <v>#VALUE!</v>
      </c>
      <c r="AD3" s="1" t="e">
        <v>#VALUE!</v>
      </c>
      <c r="AE3" s="1" t="e">
        <v>#VALUE!</v>
      </c>
      <c r="AF3" s="1" t="e">
        <v>#VALUE!</v>
      </c>
      <c r="AG3" s="1" t="e">
        <v>#VALUE!</v>
      </c>
      <c r="AH3" s="1" t="e">
        <v>#VALUE!</v>
      </c>
      <c r="AI3" s="1" t="e">
        <v>#VALUE!</v>
      </c>
      <c r="AJ3" s="1" t="e">
        <v>#VALUE!</v>
      </c>
      <c r="AK3" s="1" t="e">
        <v>#VALUE!</v>
      </c>
      <c r="AL3" s="1" t="e">
        <v>#VALUE!</v>
      </c>
      <c r="AM3" s="1" t="e">
        <v>#VALUE!</v>
      </c>
      <c r="AN3" s="1" t="e">
        <v>#VALUE!</v>
      </c>
      <c r="AO3" s="1" t="e">
        <v>#VALUE!</v>
      </c>
      <c r="AP3" s="1" t="e">
        <v>#VALUE!</v>
      </c>
      <c r="AQ3" s="1" t="e">
        <v>#VALUE!</v>
      </c>
      <c r="AR3" s="1" t="e">
        <v>#VALUE!</v>
      </c>
      <c r="AS3" s="1" t="e">
        <v>#VALUE!</v>
      </c>
      <c r="AT3" s="1" t="e">
        <v>#VALUE!</v>
      </c>
      <c r="AU3" s="1" t="e">
        <v>#VALUE!</v>
      </c>
    </row>
    <row r="4" spans="7:47" outlineLevel="1">
      <c r="G4" s="16" t="s">
        <v>59</v>
      </c>
      <c r="H4">
        <v>1</v>
      </c>
      <c r="I4" s="6" t="s">
        <v>17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 t="e">
        <v>#VALUE!</v>
      </c>
      <c r="X4">
        <v>0</v>
      </c>
      <c r="Y4">
        <v>-1</v>
      </c>
      <c r="Z4">
        <v>-1</v>
      </c>
      <c r="AA4" t="str">
        <v/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7:47" outlineLevel="1">
      <c r="G5" s="16" t="s">
        <v>59</v>
      </c>
      <c r="H5">
        <v>2</v>
      </c>
      <c r="I5" s="6" t="s">
        <v>46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t="e">
        <v>#VALUE!</v>
      </c>
      <c r="X5">
        <v>1</v>
      </c>
      <c r="Y5">
        <v>1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7:47" outlineLevel="1">
      <c r="G6" s="16" t="s">
        <v>59</v>
      </c>
      <c r="H6">
        <v>3</v>
      </c>
      <c r="I6" s="6" t="s">
        <v>18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t="e">
        <v>#VALUE!</v>
      </c>
      <c r="X6">
        <v>0</v>
      </c>
      <c r="Y6">
        <v>0</v>
      </c>
      <c r="Z6">
        <v>0</v>
      </c>
      <c r="AA6">
        <v>0</v>
      </c>
      <c r="AB6">
        <v>1</v>
      </c>
      <c r="AC6">
        <v>-1</v>
      </c>
      <c r="AD6">
        <v>-1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7:47" outlineLevel="1">
      <c r="G7" s="16" t="s">
        <v>59</v>
      </c>
      <c r="H7">
        <v>4</v>
      </c>
      <c r="I7" s="6" t="s">
        <v>22</v>
      </c>
      <c r="J7" s="4" t="e">
        <f>+'Nodos Variac Inventarios'!G5</f>
        <v>#REF!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t="e">
        <v>#VALUE!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-1</v>
      </c>
      <c r="AH7" t="str">
        <v/>
      </c>
      <c r="AI7">
        <v>-1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</row>
    <row r="8" spans="7:47" outlineLevel="1">
      <c r="G8" s="16" t="s">
        <v>59</v>
      </c>
      <c r="H8">
        <v>5</v>
      </c>
      <c r="I8" s="6" t="s">
        <v>19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t="e">
        <v>#VALUE!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str">
        <v/>
      </c>
      <c r="AF8">
        <v>-1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7:47" outlineLevel="1">
      <c r="G9" s="16" t="s">
        <v>59</v>
      </c>
      <c r="H9">
        <v>6</v>
      </c>
      <c r="I9" s="6" t="s">
        <v>20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t="e">
        <v>#VALUE!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7:47" outlineLevel="1">
      <c r="G10" s="16" t="s">
        <v>59</v>
      </c>
      <c r="H10">
        <v>7</v>
      </c>
      <c r="I10" s="6" t="s">
        <v>21</v>
      </c>
      <c r="J10">
        <v>0</v>
      </c>
      <c r="K10">
        <v>0</v>
      </c>
      <c r="L10">
        <v>-1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t="e">
        <v>#VALUE!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7:47" outlineLevel="1">
      <c r="G11" s="16" t="s">
        <v>59</v>
      </c>
      <c r="H11">
        <v>8</v>
      </c>
      <c r="I11" s="6" t="s">
        <v>23</v>
      </c>
      <c r="J11">
        <v>0</v>
      </c>
      <c r="K11">
        <v>0</v>
      </c>
      <c r="L11">
        <v>0</v>
      </c>
      <c r="M11">
        <v>0</v>
      </c>
      <c r="N11" s="4" t="e">
        <f>+'Nodos Variac Inventarios'!G6</f>
        <v>#REF!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t="e">
        <v>#VALUE!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t="str">
        <v/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7:47" outlineLevel="1">
      <c r="G12" s="16" t="s">
        <v>59</v>
      </c>
      <c r="H12">
        <v>9</v>
      </c>
      <c r="I12" s="6" t="s">
        <v>47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 t="e">
        <v>#VALUE!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7:47" outlineLevel="1">
      <c r="G13" s="16" t="s">
        <v>59</v>
      </c>
      <c r="H13">
        <v>10</v>
      </c>
      <c r="I13" s="6" t="s">
        <v>110</v>
      </c>
      <c r="J13" s="64">
        <v>1</v>
      </c>
      <c r="K13">
        <v>0</v>
      </c>
      <c r="L13">
        <v>0</v>
      </c>
      <c r="M13" s="64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t="e">
        <v>#VALUE!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-1</v>
      </c>
      <c r="AR13">
        <v>-1</v>
      </c>
      <c r="AS13">
        <v>0</v>
      </c>
      <c r="AT13">
        <v>0</v>
      </c>
      <c r="AU13">
        <v>0</v>
      </c>
    </row>
    <row r="14" spans="7:47" outlineLevel="1">
      <c r="G14" s="16" t="s">
        <v>59</v>
      </c>
      <c r="H14">
        <v>11</v>
      </c>
      <c r="I14" s="6" t="s">
        <v>24</v>
      </c>
      <c r="J14">
        <v>0</v>
      </c>
      <c r="K14">
        <v>0</v>
      </c>
      <c r="L14">
        <v>0</v>
      </c>
      <c r="M14" s="4" t="e">
        <f>+'Nodos Variac Inventarios'!G7</f>
        <v>#REF!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t="e">
        <v>#VALUE!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tr">
        <v/>
      </c>
      <c r="AT14">
        <v>-1</v>
      </c>
      <c r="AU14">
        <v>0</v>
      </c>
    </row>
    <row r="15" spans="7:47" outlineLevel="1">
      <c r="G15" s="16" t="s">
        <v>59</v>
      </c>
      <c r="H15">
        <v>12</v>
      </c>
      <c r="I15" s="6" t="s">
        <v>49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7:47" outlineLevel="1">
      <c r="G16" s="16" t="s">
        <v>59</v>
      </c>
      <c r="H16">
        <v>13</v>
      </c>
      <c r="I16" s="6" t="s">
        <v>48</v>
      </c>
      <c r="J16">
        <v>0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7:36" outlineLevel="1">
      <c r="G17" s="16" t="s">
        <v>59</v>
      </c>
      <c r="H17">
        <v>14</v>
      </c>
      <c r="I17" s="6" t="s">
        <v>56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7:36" outlineLevel="1">
      <c r="G18" s="16" t="s">
        <v>59</v>
      </c>
      <c r="H18">
        <v>15</v>
      </c>
      <c r="I18" s="6" t="s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AG18" t="s">
        <v>34</v>
      </c>
      <c r="AH18" t="s">
        <v>10</v>
      </c>
    </row>
    <row r="19" spans="7:36" outlineLevel="1">
      <c r="G19" s="16" t="s">
        <v>59</v>
      </c>
      <c r="H19">
        <v>16</v>
      </c>
      <c r="I19" s="6" t="s">
        <v>172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1</v>
      </c>
      <c r="S19">
        <v>0</v>
      </c>
      <c r="T19">
        <v>0</v>
      </c>
      <c r="AF19" s="65">
        <v>1</v>
      </c>
      <c r="AG19" s="31">
        <f t="shared" ref="AG19:AG42" si="0">+M46</f>
        <v>502781.82030850503</v>
      </c>
      <c r="AH19" s="31">
        <f t="shared" ref="AH19:AH42" si="1">+O46</f>
        <v>231983.78607040126</v>
      </c>
    </row>
    <row r="20" spans="7:36" outlineLevel="1">
      <c r="G20" s="16" t="s">
        <v>59</v>
      </c>
      <c r="H20">
        <v>17</v>
      </c>
      <c r="I20" s="6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 t="e">
        <f>+'Nodos Variac Inventarios'!G8</f>
        <v>#REF!</v>
      </c>
      <c r="R20">
        <v>0</v>
      </c>
      <c r="S20">
        <v>0</v>
      </c>
      <c r="T20">
        <v>0</v>
      </c>
      <c r="AF20" s="65">
        <v>2</v>
      </c>
      <c r="AG20" s="31">
        <f t="shared" si="0"/>
        <v>0</v>
      </c>
      <c r="AH20" s="31">
        <f t="shared" si="1"/>
        <v>0</v>
      </c>
    </row>
    <row r="21" spans="7:36" outlineLevel="1">
      <c r="G21" s="16" t="s">
        <v>59</v>
      </c>
      <c r="H21">
        <v>18</v>
      </c>
      <c r="I21" s="6" t="s">
        <v>173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AF21" s="65">
        <v>3</v>
      </c>
      <c r="AG21" s="31">
        <f t="shared" si="0"/>
        <v>12961.629000000001</v>
      </c>
      <c r="AH21" s="31">
        <f t="shared" si="1"/>
        <v>7704.8210577451482</v>
      </c>
    </row>
    <row r="22" spans="7:36" outlineLevel="1">
      <c r="G22" s="16" t="s">
        <v>59</v>
      </c>
      <c r="H22">
        <v>19</v>
      </c>
      <c r="I22" s="6" t="s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1</v>
      </c>
      <c r="T22">
        <v>0</v>
      </c>
      <c r="AF22" s="65">
        <v>4</v>
      </c>
      <c r="AG22" s="31">
        <f t="shared" si="0"/>
        <v>1770.5761999999995</v>
      </c>
      <c r="AH22" s="31">
        <f t="shared" si="1"/>
        <v>1150.0815539081302</v>
      </c>
    </row>
    <row r="23" spans="7:36" outlineLevel="1">
      <c r="G23" s="16" t="s">
        <v>59</v>
      </c>
      <c r="H23">
        <v>20</v>
      </c>
      <c r="I23" s="6" t="s">
        <v>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AF23" s="65">
        <v>5</v>
      </c>
      <c r="AG23" s="31">
        <f t="shared" si="0"/>
        <v>502781.82030850503</v>
      </c>
      <c r="AH23" s="31">
        <f t="shared" si="1"/>
        <v>231983.78607040123</v>
      </c>
    </row>
    <row r="24" spans="7:36" outlineLevel="1">
      <c r="G24" s="16" t="s">
        <v>59</v>
      </c>
      <c r="H24">
        <v>21</v>
      </c>
      <c r="I24" s="6" t="s">
        <v>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AF24" s="65">
        <v>6</v>
      </c>
      <c r="AG24" s="31">
        <f t="shared" si="0"/>
        <v>0</v>
      </c>
      <c r="AH24" s="31">
        <f t="shared" si="1"/>
        <v>0</v>
      </c>
    </row>
    <row r="25" spans="7:36" outlineLevel="1">
      <c r="G25" s="16" t="s">
        <v>59</v>
      </c>
      <c r="H25">
        <v>22</v>
      </c>
      <c r="I25" s="6" t="s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4" t="e">
        <f>+'Nodos Variac Inventarios'!G9</f>
        <v>#REF!</v>
      </c>
      <c r="AF25" s="65">
        <v>7</v>
      </c>
      <c r="AG25" s="31">
        <f t="shared" si="0"/>
        <v>502781.82030850503</v>
      </c>
      <c r="AH25" s="31">
        <f t="shared" si="1"/>
        <v>231983.78607040123</v>
      </c>
    </row>
    <row r="26" spans="7:36" ht="16" outlineLevel="1" thickBot="1">
      <c r="G26" s="16" t="s">
        <v>59</v>
      </c>
      <c r="H26">
        <v>23</v>
      </c>
      <c r="I26" s="6" t="s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AF26" s="65">
        <v>8</v>
      </c>
      <c r="AG26" s="31">
        <f t="shared" si="0"/>
        <v>44584.890479999987</v>
      </c>
      <c r="AH26" s="31">
        <f t="shared" si="1"/>
        <v>15862.288869787022</v>
      </c>
    </row>
    <row r="27" spans="7:36" outlineLevel="1">
      <c r="G27" s="16" t="s">
        <v>59</v>
      </c>
      <c r="H27">
        <v>24</v>
      </c>
      <c r="I27" s="27" t="s">
        <v>29</v>
      </c>
      <c r="J27" s="25">
        <v>0</v>
      </c>
      <c r="K27" s="25">
        <v>0</v>
      </c>
      <c r="L27" s="25">
        <v>0</v>
      </c>
      <c r="M27" s="25">
        <v>-1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AF27" s="65">
        <v>9</v>
      </c>
      <c r="AG27" s="31">
        <f t="shared" si="0"/>
        <v>458196.92982851854</v>
      </c>
      <c r="AH27" s="31">
        <f t="shared" si="1"/>
        <v>216121.49720061384</v>
      </c>
    </row>
    <row r="28" spans="7:36" outlineLevel="1">
      <c r="G28" s="16"/>
      <c r="AF28" s="65">
        <v>10</v>
      </c>
      <c r="AG28" s="31">
        <f t="shared" si="0"/>
        <v>14732.2052</v>
      </c>
      <c r="AH28" s="31">
        <f t="shared" si="1"/>
        <v>8854.9026116532787</v>
      </c>
      <c r="AI28" s="31"/>
      <c r="AJ28" s="31"/>
    </row>
    <row r="29" spans="7:36" outlineLevel="1">
      <c r="G29" s="16"/>
      <c r="AF29" s="65">
        <v>11</v>
      </c>
      <c r="AG29" s="31">
        <f t="shared" si="0"/>
        <v>30901.954517017632</v>
      </c>
      <c r="AH29" s="31">
        <f t="shared" si="1"/>
        <v>28476.531242053443</v>
      </c>
      <c r="AI29" s="31"/>
      <c r="AJ29" s="31"/>
    </row>
    <row r="30" spans="7:36" outlineLevel="1">
      <c r="G30" s="16"/>
      <c r="AF30" s="65">
        <v>12</v>
      </c>
      <c r="AG30" s="31">
        <f t="shared" si="0"/>
        <v>16162.331</v>
      </c>
      <c r="AH30" s="31">
        <f t="shared" si="1"/>
        <v>9675.4587302503223</v>
      </c>
      <c r="AI30" s="31"/>
      <c r="AJ30" s="31"/>
    </row>
    <row r="31" spans="7:36" outlineLevel="1">
      <c r="G31" s="16"/>
      <c r="AF31" s="65">
        <v>13</v>
      </c>
      <c r="AG31" s="31">
        <f t="shared" si="0"/>
        <v>345267.33650650288</v>
      </c>
      <c r="AH31" s="31">
        <f t="shared" si="1"/>
        <v>198183.7605973435</v>
      </c>
      <c r="AI31" s="31"/>
      <c r="AJ31" s="31"/>
    </row>
    <row r="32" spans="7:36" outlineLevel="1">
      <c r="G32" s="16"/>
      <c r="AF32" s="65">
        <v>14</v>
      </c>
      <c r="AG32" s="31">
        <f t="shared" si="0"/>
        <v>112929.59332199999</v>
      </c>
      <c r="AH32" s="31">
        <f t="shared" si="1"/>
        <v>17937.73660326648</v>
      </c>
      <c r="AI32" s="31"/>
      <c r="AJ32" s="31"/>
    </row>
    <row r="33" spans="4:36" outlineLevel="1">
      <c r="G33" s="16"/>
      <c r="AF33" s="65">
        <v>15</v>
      </c>
      <c r="AG33" s="31">
        <f t="shared" si="0"/>
        <v>30174.414309067877</v>
      </c>
      <c r="AH33" s="31">
        <f t="shared" si="1"/>
        <v>5989.7466433757972</v>
      </c>
      <c r="AI33" s="31"/>
      <c r="AJ33" s="31"/>
    </row>
    <row r="34" spans="4:36" outlineLevel="1">
      <c r="G34" s="16"/>
      <c r="AF34" s="65">
        <v>16</v>
      </c>
      <c r="AG34" s="31">
        <f t="shared" si="0"/>
        <v>82755.179012932131</v>
      </c>
      <c r="AH34" s="31">
        <f t="shared" si="1"/>
        <v>11947.989959159877</v>
      </c>
      <c r="AI34" s="31"/>
      <c r="AJ34" s="31"/>
    </row>
    <row r="35" spans="4:36" outlineLevel="1">
      <c r="G35" s="16"/>
      <c r="AF35" s="65">
        <v>17</v>
      </c>
      <c r="AG35" s="31">
        <f t="shared" si="0"/>
        <v>14174.322317347074</v>
      </c>
      <c r="AH35" s="31">
        <f t="shared" si="1"/>
        <v>3614.2837117004206</v>
      </c>
      <c r="AI35" s="31"/>
      <c r="AJ35" s="31"/>
    </row>
    <row r="36" spans="4:36" outlineLevel="1">
      <c r="G36" s="16"/>
      <c r="AF36" s="65">
        <v>18</v>
      </c>
      <c r="AG36" s="31">
        <f t="shared" si="0"/>
        <v>44348.736626414939</v>
      </c>
      <c r="AH36" s="31">
        <f t="shared" si="1"/>
        <v>9604.0303558096184</v>
      </c>
      <c r="AI36" s="31"/>
      <c r="AJ36" s="31"/>
    </row>
    <row r="37" spans="4:36" outlineLevel="1">
      <c r="G37" s="16"/>
      <c r="AF37" s="65">
        <v>19</v>
      </c>
      <c r="AG37" s="31">
        <f t="shared" si="0"/>
        <v>127103.91563934706</v>
      </c>
      <c r="AH37" s="31">
        <f t="shared" si="1"/>
        <v>21552.0203149669</v>
      </c>
      <c r="AI37" s="31"/>
      <c r="AJ37" s="31"/>
    </row>
    <row r="38" spans="4:36" outlineLevel="1">
      <c r="G38" s="16"/>
      <c r="AF38" s="65">
        <v>20</v>
      </c>
      <c r="AG38" s="31">
        <f t="shared" si="0"/>
        <v>108284.65870939114</v>
      </c>
      <c r="AH38" s="31">
        <f t="shared" si="1"/>
        <v>14049.347154701374</v>
      </c>
      <c r="AI38" s="31"/>
      <c r="AJ38" s="31"/>
    </row>
    <row r="39" spans="4:36" outlineLevel="1">
      <c r="G39" s="16"/>
      <c r="AF39" s="65">
        <v>21</v>
      </c>
      <c r="AG39" s="31">
        <f t="shared" si="0"/>
        <v>18819.256929955947</v>
      </c>
      <c r="AH39" s="31">
        <f t="shared" si="1"/>
        <v>7502.6731602655373</v>
      </c>
      <c r="AI39" s="31"/>
      <c r="AJ39" s="31"/>
    </row>
    <row r="40" spans="4:36" outlineLevel="1">
      <c r="G40" s="16"/>
      <c r="AF40" s="65">
        <v>22</v>
      </c>
      <c r="AG40" s="31">
        <f t="shared" si="0"/>
        <v>311.60807004405655</v>
      </c>
      <c r="AH40" s="31">
        <f t="shared" si="1"/>
        <v>117.65024330446384</v>
      </c>
      <c r="AI40" s="31"/>
      <c r="AJ40" s="31"/>
    </row>
    <row r="41" spans="4:36" outlineLevel="1">
      <c r="G41" s="16"/>
      <c r="AF41" s="65">
        <v>23</v>
      </c>
      <c r="AG41" s="31">
        <f t="shared" si="0"/>
        <v>19130.865000000002</v>
      </c>
      <c r="AH41" s="31">
        <f t="shared" si="1"/>
        <v>7620.3234035700007</v>
      </c>
      <c r="AI41" s="31"/>
      <c r="AJ41" s="31"/>
    </row>
    <row r="42" spans="4:36" outlineLevel="1">
      <c r="G42" s="16"/>
      <c r="AF42" s="65">
        <v>24</v>
      </c>
      <c r="AG42" s="31">
        <f t="shared" si="0"/>
        <v>673884.94200000004</v>
      </c>
      <c r="AH42" s="31">
        <f t="shared" si="1"/>
        <v>410848.95586592209</v>
      </c>
      <c r="AI42" s="31"/>
      <c r="AJ42" s="31"/>
    </row>
    <row r="43" spans="4:36" ht="16" thickBot="1">
      <c r="D43" s="7"/>
      <c r="AB43" s="20" t="s">
        <v>54</v>
      </c>
      <c r="AC43" s="20"/>
      <c r="AI43" s="31"/>
      <c r="AJ43" s="31"/>
    </row>
    <row r="44" spans="4:36" ht="32.25" customHeight="1">
      <c r="D44" s="7"/>
      <c r="J44" s="323" t="s">
        <v>39</v>
      </c>
      <c r="K44" s="324"/>
      <c r="M44" s="320" t="s">
        <v>40</v>
      </c>
      <c r="N44" s="321"/>
      <c r="O44" s="322"/>
      <c r="R44" s="326" t="s">
        <v>42</v>
      </c>
      <c r="S44" s="327"/>
      <c r="T44" s="40" t="s">
        <v>57</v>
      </c>
      <c r="V44" s="38" t="s">
        <v>58</v>
      </c>
      <c r="AB44" s="20" t="s">
        <v>34</v>
      </c>
      <c r="AC44" s="20" t="s">
        <v>10</v>
      </c>
      <c r="AE44" s="45" t="e">
        <f>+V45</f>
        <v>#REF!</v>
      </c>
      <c r="AI44" s="31"/>
      <c r="AJ44" s="31"/>
    </row>
    <row r="45" spans="4:36">
      <c r="D45" s="7"/>
      <c r="J45" s="34" t="s">
        <v>34</v>
      </c>
      <c r="K45" s="34" t="s">
        <v>9</v>
      </c>
      <c r="M45" s="11" t="s">
        <v>34</v>
      </c>
      <c r="N45" s="12" t="s">
        <v>9</v>
      </c>
      <c r="O45" s="13" t="s">
        <v>41</v>
      </c>
      <c r="R45" s="14" t="s">
        <v>34</v>
      </c>
      <c r="S45" s="14" t="s">
        <v>37</v>
      </c>
      <c r="T45" s="39" t="e">
        <f>+MAX(T46:T69)</f>
        <v>#REF!</v>
      </c>
      <c r="V45" s="39" t="e">
        <f>+MAX(V46:V69)</f>
        <v>#REF!</v>
      </c>
      <c r="AA45" s="44" t="s">
        <v>0</v>
      </c>
      <c r="AB45" s="20" t="e" cm="1">
        <f t="array" ref="AB45:AC55">+MMULT(X4:AU14,AG19:AH42)</f>
        <v>#VALUE!</v>
      </c>
      <c r="AC45" s="20" t="str">
        <v/>
      </c>
      <c r="AI45" s="31"/>
      <c r="AJ45" s="31"/>
    </row>
    <row r="46" spans="4:36">
      <c r="G46" s="16"/>
      <c r="H46">
        <f>+H4</f>
        <v>1</v>
      </c>
      <c r="I46" s="35" t="str">
        <f t="shared" ref="I46:I57" si="2">+I4</f>
        <v>Alimentación Mina</v>
      </c>
      <c r="J46" s="58" t="e">
        <f>+#REF!</f>
        <v>#REF!</v>
      </c>
      <c r="K46" s="59" t="e">
        <f>+#REF!</f>
        <v>#REF!</v>
      </c>
      <c r="L46" s="44" t="s">
        <v>61</v>
      </c>
      <c r="M46" s="48">
        <v>502781.82030850503</v>
      </c>
      <c r="N46" s="47">
        <v>0.46140050554742984</v>
      </c>
      <c r="O46" s="48">
        <f>+M46*N46</f>
        <v>231983.78607040126</v>
      </c>
      <c r="R46" s="36" t="e">
        <f>+IF(J46&lt;&gt;0,(M46-J46)/J46,0)</f>
        <v>#REF!</v>
      </c>
      <c r="S46" s="36" t="e">
        <f>+IF(K46&lt;&gt;0,(N46-K46)/K46,0)</f>
        <v>#REF!</v>
      </c>
      <c r="T46" s="113" t="e">
        <f>+IF(R46&lt;&gt;"",ABS(R46),0)</f>
        <v>#REF!</v>
      </c>
      <c r="U46" s="118"/>
      <c r="V46" s="113" t="e">
        <f t="shared" ref="V46:V69" si="3">+IF(S46&lt;&gt;"",ABS(S46),0)</f>
        <v>#REF!</v>
      </c>
      <c r="W46" s="118">
        <v>0.02</v>
      </c>
      <c r="AA46" s="44" t="s">
        <v>1</v>
      </c>
      <c r="AB46" s="20" t="str">
        <v/>
      </c>
      <c r="AC46" s="20" t="str">
        <v/>
      </c>
      <c r="AI46" s="31"/>
      <c r="AJ46" s="31"/>
    </row>
    <row r="47" spans="4:36">
      <c r="G47" s="16"/>
      <c r="H47">
        <f t="shared" ref="H47" si="4">+H5</f>
        <v>2</v>
      </c>
      <c r="I47" s="35" t="str">
        <f t="shared" si="2"/>
        <v>Alim a Planta desde Acopio Mina</v>
      </c>
      <c r="J47" s="58" t="e">
        <f>+#REF!</f>
        <v>#REF!</v>
      </c>
      <c r="K47" s="59" t="e">
        <f>+#REF!</f>
        <v>#REF!</v>
      </c>
      <c r="L47" s="44"/>
      <c r="M47" s="48">
        <v>0</v>
      </c>
      <c r="N47" s="47">
        <v>0</v>
      </c>
      <c r="O47" s="48">
        <f t="shared" ref="O47:O69" si="5">+M47*N47</f>
        <v>0</v>
      </c>
      <c r="R47" s="19" t="e">
        <f t="shared" ref="R47:R69" si="6">+IF(J47&lt;&gt;0,(M47-J47)/J47,0)</f>
        <v>#REF!</v>
      </c>
      <c r="S47" s="19" t="e">
        <f t="shared" ref="S47:S69" si="7">+IF(K47&lt;&gt;0,(N47-K47)/K47,0)</f>
        <v>#REF!</v>
      </c>
      <c r="T47" s="36" t="e">
        <f t="shared" ref="T47:T69" si="8">+IF(R47&lt;&gt;"",ABS(R47),0)</f>
        <v>#REF!</v>
      </c>
      <c r="U47" s="118"/>
      <c r="V47" s="36" t="e">
        <f t="shared" si="3"/>
        <v>#REF!</v>
      </c>
      <c r="W47" s="118"/>
      <c r="AA47" s="44" t="s">
        <v>2</v>
      </c>
      <c r="AB47" s="20" t="str">
        <v/>
      </c>
      <c r="AC47" s="20" t="str">
        <v/>
      </c>
      <c r="AI47" s="31"/>
      <c r="AJ47" s="31"/>
    </row>
    <row r="48" spans="4:36">
      <c r="D48" t="s">
        <v>35</v>
      </c>
      <c r="E48" t="s">
        <v>36</v>
      </c>
      <c r="F48" t="s">
        <v>9</v>
      </c>
      <c r="G48" s="16"/>
      <c r="H48">
        <f t="shared" ref="H48" si="9">+H6</f>
        <v>3</v>
      </c>
      <c r="I48" s="37" t="str">
        <f t="shared" si="2"/>
        <v>Acopio Mina a Terceros</v>
      </c>
      <c r="J48" s="58" t="e">
        <f>+#REF!</f>
        <v>#REF!</v>
      </c>
      <c r="K48" s="59" t="e">
        <f>+#REF!</f>
        <v>#REF!</v>
      </c>
      <c r="L48" s="44"/>
      <c r="M48" s="48">
        <v>12961.629000000001</v>
      </c>
      <c r="N48" s="47">
        <v>0.59443308072967893</v>
      </c>
      <c r="O48" s="48">
        <f t="shared" si="5"/>
        <v>7704.8210577451482</v>
      </c>
      <c r="P48" s="32"/>
      <c r="R48" s="19" t="e">
        <f t="shared" si="6"/>
        <v>#REF!</v>
      </c>
      <c r="S48" s="19" t="e">
        <f t="shared" si="7"/>
        <v>#REF!</v>
      </c>
      <c r="T48" s="36" t="e">
        <f t="shared" si="8"/>
        <v>#REF!</v>
      </c>
      <c r="U48" s="118">
        <v>0</v>
      </c>
      <c r="V48" s="36" t="e">
        <f t="shared" si="3"/>
        <v>#REF!</v>
      </c>
      <c r="W48" s="118"/>
      <c r="AA48" s="44" t="s">
        <v>3</v>
      </c>
      <c r="AB48" s="20" t="str">
        <v/>
      </c>
      <c r="AC48" s="20" t="str">
        <v/>
      </c>
      <c r="AI48" s="31"/>
      <c r="AJ48" s="31"/>
    </row>
    <row r="49" spans="4:36">
      <c r="D49" s="8" t="e">
        <f>+'Nodos Variac Inventarios'!D5</f>
        <v>#REF!</v>
      </c>
      <c r="E49" s="9" t="e">
        <f>+'Nodos Variac Inventarios'!E5</f>
        <v>#REF!</v>
      </c>
      <c r="F49" s="10" t="e">
        <f>+'Nodos Variac Inventarios'!F5</f>
        <v>#REF!</v>
      </c>
      <c r="G49" t="e">
        <f>+IF(D49&gt;0,1,IF(D49&lt;&gt;0,-1,0))</f>
        <v>#REF!</v>
      </c>
      <c r="H49">
        <f t="shared" ref="H49" si="10">+H7</f>
        <v>4</v>
      </c>
      <c r="I49" s="35" t="str">
        <f t="shared" si="2"/>
        <v>Delta S Acopio Mina</v>
      </c>
      <c r="J49" s="58" t="e">
        <f>+E49</f>
        <v>#REF!</v>
      </c>
      <c r="K49" s="59" t="e">
        <f>+F49</f>
        <v>#REF!</v>
      </c>
      <c r="L49" s="44" t="s">
        <v>62</v>
      </c>
      <c r="M49" s="48">
        <v>1770.5761999999995</v>
      </c>
      <c r="N49" s="47">
        <v>0.64955213670449796</v>
      </c>
      <c r="O49" s="48">
        <f t="shared" si="5"/>
        <v>1150.0815539081302</v>
      </c>
      <c r="P49" t="e">
        <f>+'Nodos Variac Inventarios'!H5</f>
        <v>#REF!</v>
      </c>
      <c r="Q49" s="7" t="e">
        <f>+M49-J49</f>
        <v>#REF!</v>
      </c>
      <c r="R49" s="19" t="e">
        <f t="shared" si="6"/>
        <v>#REF!</v>
      </c>
      <c r="S49" s="19" t="e">
        <f t="shared" si="7"/>
        <v>#REF!</v>
      </c>
      <c r="T49" s="36" t="e">
        <f t="shared" si="8"/>
        <v>#REF!</v>
      </c>
      <c r="U49" s="118"/>
      <c r="V49" s="36" t="e">
        <f t="shared" si="3"/>
        <v>#REF!</v>
      </c>
      <c r="W49" s="118"/>
      <c r="AA49" s="44" t="s">
        <v>4</v>
      </c>
      <c r="AB49" s="20" t="str">
        <v/>
      </c>
      <c r="AC49" s="20" t="str">
        <v/>
      </c>
      <c r="AI49" s="31"/>
      <c r="AJ49" s="31"/>
    </row>
    <row r="50" spans="4:36">
      <c r="G50" s="16"/>
      <c r="H50">
        <f t="shared" ref="H50" si="11">+H8</f>
        <v>5</v>
      </c>
      <c r="I50" s="35" t="str">
        <f t="shared" si="2"/>
        <v>Alim a Chancado</v>
      </c>
      <c r="J50" s="55" t="e">
        <f>+J46+J47</f>
        <v>#REF!</v>
      </c>
      <c r="K50" s="56" t="e">
        <f>+(J46*K46+J47*K47)/J50</f>
        <v>#REF!</v>
      </c>
      <c r="L50" s="44"/>
      <c r="M50" s="48">
        <v>502781.82030850503</v>
      </c>
      <c r="N50" s="47">
        <v>0.46140050554742978</v>
      </c>
      <c r="O50" s="48">
        <f t="shared" si="5"/>
        <v>231983.78607040123</v>
      </c>
      <c r="R50" s="19" t="e">
        <f t="shared" si="6"/>
        <v>#REF!</v>
      </c>
      <c r="S50" s="19" t="e">
        <f t="shared" si="7"/>
        <v>#REF!</v>
      </c>
      <c r="T50" s="36" t="e">
        <f t="shared" si="8"/>
        <v>#REF!</v>
      </c>
      <c r="U50" s="118"/>
      <c r="V50" s="36" t="e">
        <f t="shared" si="3"/>
        <v>#REF!</v>
      </c>
      <c r="W50" s="118"/>
      <c r="AA50" s="44" t="s">
        <v>5</v>
      </c>
      <c r="AB50" s="20" t="str">
        <v/>
      </c>
      <c r="AC50" s="20" t="str">
        <v/>
      </c>
      <c r="AI50" s="31"/>
      <c r="AJ50" s="31"/>
    </row>
    <row r="51" spans="4:36">
      <c r="G51" s="16"/>
      <c r="H51">
        <f t="shared" ref="H51" si="12">+H9</f>
        <v>6</v>
      </c>
      <c r="I51" s="35" t="str">
        <f t="shared" si="2"/>
        <v>Chanc a Stock Prec Los Col.</v>
      </c>
      <c r="J51" s="55">
        <v>0</v>
      </c>
      <c r="K51" s="56">
        <f>+IF(J51&lt;&gt;0,(J50*K50-J52*K52)/J51,0)</f>
        <v>0</v>
      </c>
      <c r="L51" s="44"/>
      <c r="M51" s="48">
        <v>0</v>
      </c>
      <c r="N51" s="47">
        <v>0</v>
      </c>
      <c r="O51" s="48">
        <f t="shared" si="5"/>
        <v>0</v>
      </c>
      <c r="R51" s="19">
        <f t="shared" si="6"/>
        <v>0</v>
      </c>
      <c r="S51" s="19">
        <f t="shared" si="7"/>
        <v>0</v>
      </c>
      <c r="T51" s="36">
        <f t="shared" si="8"/>
        <v>0</v>
      </c>
      <c r="U51" s="118"/>
      <c r="V51" s="36">
        <f t="shared" si="3"/>
        <v>0</v>
      </c>
      <c r="W51" s="118"/>
      <c r="AA51" s="44" t="s">
        <v>6</v>
      </c>
      <c r="AB51" s="20" t="str">
        <v/>
      </c>
      <c r="AC51" s="20" t="str">
        <v/>
      </c>
      <c r="AI51" s="31"/>
      <c r="AJ51" s="31"/>
    </row>
    <row r="52" spans="4:36">
      <c r="G52" s="16"/>
      <c r="H52">
        <f t="shared" ref="H52" si="13">+H10</f>
        <v>7</v>
      </c>
      <c r="I52" s="35" t="str">
        <f t="shared" si="2"/>
        <v>Chanc a Stock Grueso</v>
      </c>
      <c r="J52" s="55" t="e">
        <f>+J50</f>
        <v>#REF!</v>
      </c>
      <c r="K52" s="56" t="e">
        <f>+K50</f>
        <v>#REF!</v>
      </c>
      <c r="L52" s="44"/>
      <c r="M52" s="48">
        <v>502781.82030850503</v>
      </c>
      <c r="N52" s="47">
        <v>0.46140050554742978</v>
      </c>
      <c r="O52" s="48">
        <f t="shared" si="5"/>
        <v>231983.78607040123</v>
      </c>
      <c r="R52" s="19" t="e">
        <f t="shared" si="6"/>
        <v>#REF!</v>
      </c>
      <c r="S52" s="19" t="e">
        <f t="shared" si="7"/>
        <v>#REF!</v>
      </c>
      <c r="T52" s="36" t="e">
        <f t="shared" si="8"/>
        <v>#REF!</v>
      </c>
      <c r="U52" s="118"/>
      <c r="V52" s="36" t="e">
        <f t="shared" si="3"/>
        <v>#REF!</v>
      </c>
      <c r="W52" s="118"/>
      <c r="AA52" s="44" t="s">
        <v>7</v>
      </c>
      <c r="AB52" s="20" t="str">
        <v/>
      </c>
      <c r="AC52" s="20" t="str">
        <v/>
      </c>
      <c r="AI52" s="31"/>
      <c r="AJ52" s="31"/>
    </row>
    <row r="53" spans="4:36">
      <c r="D53" s="8" t="e">
        <f>+'Nodos Variac Inventarios'!D6</f>
        <v>#REF!</v>
      </c>
      <c r="E53" s="9" t="e">
        <f>+'Nodos Variac Inventarios'!E6</f>
        <v>#REF!</v>
      </c>
      <c r="F53" s="10" t="e">
        <f>+'Nodos Variac Inventarios'!F6</f>
        <v>#REF!</v>
      </c>
      <c r="G53" t="e">
        <f>+IF(D53&gt;0,1,IF(D53&lt;&gt;0,-1,0))</f>
        <v>#REF!</v>
      </c>
      <c r="H53">
        <f t="shared" ref="H53" si="14">+H11</f>
        <v>8</v>
      </c>
      <c r="I53" s="35" t="str">
        <f t="shared" si="2"/>
        <v>Delta Stock de Grueso</v>
      </c>
      <c r="J53" s="58" t="e">
        <f>+E53</f>
        <v>#REF!</v>
      </c>
      <c r="K53" s="59" t="e">
        <f>+IF(J53&lt;&gt;0,F53,0)</f>
        <v>#REF!</v>
      </c>
      <c r="L53" s="44" t="s">
        <v>62</v>
      </c>
      <c r="M53" s="48">
        <v>44584.890479999987</v>
      </c>
      <c r="N53" s="47">
        <v>0.35577723078410545</v>
      </c>
      <c r="O53" s="48">
        <f t="shared" si="5"/>
        <v>15862.288869787022</v>
      </c>
      <c r="P53" t="e">
        <f>+'Nodos Variac Inventarios'!H6</f>
        <v>#REF!</v>
      </c>
      <c r="Q53" s="7" t="e">
        <f>+M53-J53</f>
        <v>#REF!</v>
      </c>
      <c r="R53" s="19" t="e">
        <f t="shared" si="6"/>
        <v>#REF!</v>
      </c>
      <c r="S53" s="19" t="e">
        <f t="shared" si="7"/>
        <v>#REF!</v>
      </c>
      <c r="T53" s="36" t="e">
        <f t="shared" si="8"/>
        <v>#REF!</v>
      </c>
      <c r="U53" s="118">
        <v>0.1</v>
      </c>
      <c r="V53" s="36" t="e">
        <f t="shared" si="3"/>
        <v>#REF!</v>
      </c>
      <c r="W53" s="118"/>
      <c r="AA53" s="44" t="s">
        <v>51</v>
      </c>
      <c r="AB53" s="20" t="str">
        <v/>
      </c>
      <c r="AC53" s="20" t="str">
        <v/>
      </c>
      <c r="AI53" s="31"/>
      <c r="AJ53" s="31"/>
    </row>
    <row r="54" spans="4:36">
      <c r="G54" s="16"/>
      <c r="H54">
        <f t="shared" ref="H54" si="15">+H12</f>
        <v>9</v>
      </c>
      <c r="I54" s="35" t="str">
        <f t="shared" si="2"/>
        <v>De Stock Grueso a conc magn (alim A52 y A82)</v>
      </c>
      <c r="J54" s="58" t="e">
        <f>+#REF!</f>
        <v>#REF!</v>
      </c>
      <c r="K54" s="59" t="e">
        <f>+#REF!</f>
        <v>#REF!</v>
      </c>
      <c r="L54" s="44"/>
      <c r="M54" s="48">
        <v>458196.92982851854</v>
      </c>
      <c r="N54" s="47">
        <v>0.47167818710941145</v>
      </c>
      <c r="O54" s="48">
        <f t="shared" si="5"/>
        <v>216121.49720061384</v>
      </c>
      <c r="R54" s="19" t="e">
        <f t="shared" si="6"/>
        <v>#REF!</v>
      </c>
      <c r="S54" s="19" t="e">
        <f t="shared" si="7"/>
        <v>#REF!</v>
      </c>
      <c r="T54" s="36" t="e">
        <f t="shared" si="8"/>
        <v>#REF!</v>
      </c>
      <c r="U54" s="118"/>
      <c r="V54" s="36" t="e">
        <f t="shared" si="3"/>
        <v>#REF!</v>
      </c>
      <c r="W54" s="118"/>
      <c r="AA54" s="44" t="s">
        <v>25</v>
      </c>
      <c r="AB54" s="20" t="str">
        <v/>
      </c>
      <c r="AC54" s="20" t="str">
        <v/>
      </c>
      <c r="AI54" s="31"/>
      <c r="AJ54" s="31"/>
    </row>
    <row r="55" spans="4:36">
      <c r="G55" s="16"/>
      <c r="H55">
        <f t="shared" ref="H55" si="16">+H13</f>
        <v>10</v>
      </c>
      <c r="I55" s="35" t="str">
        <f t="shared" si="2"/>
        <v>Stock Prec a (o desde) Acopio Mina</v>
      </c>
      <c r="J55" s="58" t="e">
        <f>+#REF!</f>
        <v>#REF!</v>
      </c>
      <c r="K55" s="59" t="e">
        <f>+#REF!</f>
        <v>#REF!</v>
      </c>
      <c r="L55" s="44"/>
      <c r="M55" s="48">
        <v>14732.2052</v>
      </c>
      <c r="N55" s="47">
        <v>0.60105751253405559</v>
      </c>
      <c r="O55" s="48">
        <f t="shared" si="5"/>
        <v>8854.9026116532787</v>
      </c>
      <c r="R55" s="19" t="e">
        <f t="shared" si="6"/>
        <v>#REF!</v>
      </c>
      <c r="S55" s="19" t="e">
        <f t="shared" si="7"/>
        <v>#REF!</v>
      </c>
      <c r="T55" s="36" t="e">
        <f t="shared" si="8"/>
        <v>#REF!</v>
      </c>
      <c r="U55" s="118">
        <v>0</v>
      </c>
      <c r="V55" s="36" t="e">
        <f t="shared" si="3"/>
        <v>#REF!</v>
      </c>
      <c r="W55" s="118">
        <v>0.05</v>
      </c>
      <c r="AA55" s="44" t="s">
        <v>8</v>
      </c>
      <c r="AB55" s="20" t="str">
        <v/>
      </c>
      <c r="AC55" s="20" t="str">
        <v/>
      </c>
      <c r="AI55" s="31"/>
      <c r="AJ55" s="31"/>
    </row>
    <row r="56" spans="4:36">
      <c r="D56" s="8" t="e">
        <f>+J58+J51-J69-J57-J55</f>
        <v>#REF!</v>
      </c>
      <c r="E56" s="9" t="e">
        <f>+'Nodos Variac Inventarios'!E7</f>
        <v>#REF!</v>
      </c>
      <c r="F56" s="10" t="e">
        <f>+(J58*K58+J51*K51-J69*K69-J57*K57-J55*K55)/(J58+J51-J69-J57-J55)</f>
        <v>#REF!</v>
      </c>
      <c r="G56" t="e">
        <f>+IF(D56&gt;0,1,IF(D56&lt;&gt;0,-1,0))</f>
        <v>#REF!</v>
      </c>
      <c r="H56">
        <f t="shared" ref="H56" si="17">+H14</f>
        <v>11</v>
      </c>
      <c r="I56" s="35" t="str">
        <f t="shared" si="2"/>
        <v>Delta Stock Prec</v>
      </c>
      <c r="J56" s="58" t="e">
        <f>+E56</f>
        <v>#REF!</v>
      </c>
      <c r="K56" s="59" t="e">
        <f>+F56</f>
        <v>#REF!</v>
      </c>
      <c r="L56" s="44" t="s">
        <v>62</v>
      </c>
      <c r="M56" s="48">
        <v>30901.954517017632</v>
      </c>
      <c r="N56" s="47">
        <v>0.92151230196043055</v>
      </c>
      <c r="O56" s="48">
        <f t="shared" si="5"/>
        <v>28476.531242053443</v>
      </c>
      <c r="P56" t="e">
        <f>+'Nodos Variac Inventarios'!H7</f>
        <v>#REF!</v>
      </c>
      <c r="Q56" s="7" t="e">
        <f>+M56-J56</f>
        <v>#REF!</v>
      </c>
      <c r="R56" s="19" t="e">
        <f t="shared" si="6"/>
        <v>#REF!</v>
      </c>
      <c r="S56" s="19" t="e">
        <f t="shared" si="7"/>
        <v>#REF!</v>
      </c>
      <c r="T56" s="36" t="e">
        <f t="shared" si="8"/>
        <v>#REF!</v>
      </c>
      <c r="U56" s="118"/>
      <c r="V56" s="36" t="e">
        <f t="shared" si="3"/>
        <v>#REF!</v>
      </c>
      <c r="W56" s="118"/>
      <c r="AI56" s="31"/>
      <c r="AJ56" s="31"/>
    </row>
    <row r="57" spans="4:36">
      <c r="G57" s="16"/>
      <c r="H57">
        <f t="shared" ref="H57" si="18">+H15</f>
        <v>12</v>
      </c>
      <c r="I57" s="37" t="str">
        <f t="shared" si="2"/>
        <v>de Stock Prec a Terceros (a otras faenas)</v>
      </c>
      <c r="J57" s="58" t="e">
        <f>+#REF!</f>
        <v>#REF!</v>
      </c>
      <c r="K57" s="59" t="e">
        <f>+#REF!</f>
        <v>#REF!</v>
      </c>
      <c r="L57" s="44" t="s">
        <v>63</v>
      </c>
      <c r="M57" s="48">
        <v>16162.331</v>
      </c>
      <c r="N57" s="47">
        <v>0.59864253060095862</v>
      </c>
      <c r="O57" s="48">
        <f t="shared" si="5"/>
        <v>9675.4587302503223</v>
      </c>
      <c r="P57" s="32"/>
      <c r="R57" s="19" t="e">
        <f t="shared" si="6"/>
        <v>#REF!</v>
      </c>
      <c r="S57" s="19" t="e">
        <f t="shared" si="7"/>
        <v>#REF!</v>
      </c>
      <c r="T57" s="36" t="e">
        <f t="shared" si="8"/>
        <v>#REF!</v>
      </c>
      <c r="U57" s="118">
        <v>0</v>
      </c>
      <c r="V57" s="36" t="e">
        <f t="shared" si="3"/>
        <v>#REF!</v>
      </c>
      <c r="W57" s="118">
        <v>0.01</v>
      </c>
      <c r="AA57" s="16" t="s">
        <v>68</v>
      </c>
      <c r="AB57" t="e">
        <f ca="1">+SUM(_xlfn.ANCHORARRAY(AB45))</f>
        <v>#NAME?</v>
      </c>
      <c r="AI57" s="31"/>
      <c r="AJ57" s="31"/>
    </row>
    <row r="58" spans="4:36">
      <c r="G58" s="16"/>
      <c r="H58">
        <f t="shared" ref="H58" si="19">+H16</f>
        <v>13</v>
      </c>
      <c r="I58" s="35" t="str">
        <f t="shared" ref="I58:I68" si="20">+I16</f>
        <v>de Conc Magnética a Stock Prec (Prod A52 y A 82)</v>
      </c>
      <c r="J58" s="58" t="e">
        <f>+#REF!</f>
        <v>#REF!</v>
      </c>
      <c r="K58" s="59" t="e">
        <f>+#REF!</f>
        <v>#REF!</v>
      </c>
      <c r="L58" s="44"/>
      <c r="M58" s="48">
        <v>345267.33650650288</v>
      </c>
      <c r="N58" s="47">
        <v>0.57400089624061745</v>
      </c>
      <c r="O58" s="48">
        <f t="shared" si="5"/>
        <v>198183.7605973435</v>
      </c>
      <c r="R58" s="19" t="e">
        <f t="shared" si="6"/>
        <v>#REF!</v>
      </c>
      <c r="S58" s="19" t="e">
        <f t="shared" si="7"/>
        <v>#REF!</v>
      </c>
      <c r="T58" s="113" t="e">
        <f t="shared" si="8"/>
        <v>#REF!</v>
      </c>
      <c r="U58" s="118">
        <v>0.03</v>
      </c>
      <c r="V58" s="36" t="e">
        <f t="shared" si="3"/>
        <v>#REF!</v>
      </c>
      <c r="W58" s="118"/>
      <c r="AA58" s="16" t="s">
        <v>53</v>
      </c>
      <c r="AB58" s="7" t="e">
        <f>+SUM(J100:K123)</f>
        <v>#REF!</v>
      </c>
      <c r="AI58" s="31"/>
      <c r="AJ58" s="31"/>
    </row>
    <row r="59" spans="4:36">
      <c r="G59" s="16"/>
      <c r="H59">
        <f t="shared" ref="H59" si="21">+H17</f>
        <v>14</v>
      </c>
      <c r="I59" s="35" t="str">
        <f t="shared" si="20"/>
        <v>total de rechazo</v>
      </c>
      <c r="J59" s="55" t="e">
        <f>+J60+J61</f>
        <v>#REF!</v>
      </c>
      <c r="K59" s="56" t="e">
        <f>+K60</f>
        <v>#REF!</v>
      </c>
      <c r="L59" s="44"/>
      <c r="M59" s="48">
        <v>112929.59332199999</v>
      </c>
      <c r="N59" s="47">
        <v>0.15884000000000001</v>
      </c>
      <c r="O59" s="48">
        <f t="shared" si="5"/>
        <v>17937.73660326648</v>
      </c>
      <c r="R59" s="19" t="e">
        <f t="shared" si="6"/>
        <v>#REF!</v>
      </c>
      <c r="S59" s="19" t="e">
        <f t="shared" si="7"/>
        <v>#REF!</v>
      </c>
      <c r="T59" s="36" t="e">
        <f t="shared" si="8"/>
        <v>#REF!</v>
      </c>
      <c r="U59" s="118">
        <v>0.02</v>
      </c>
      <c r="V59" s="36" t="e">
        <f t="shared" si="3"/>
        <v>#REF!</v>
      </c>
      <c r="W59" s="118">
        <v>0.05</v>
      </c>
    </row>
    <row r="60" spans="4:36">
      <c r="G60" s="16"/>
      <c r="H60">
        <f t="shared" ref="H60" si="22">+H18</f>
        <v>15</v>
      </c>
      <c r="I60" s="35" t="str">
        <f t="shared" si="20"/>
        <v>Rechazo  a Stock de Rechazo</v>
      </c>
      <c r="J60" s="58" t="e">
        <f>+#REF!</f>
        <v>#REF!</v>
      </c>
      <c r="K60" s="59" t="e">
        <f>+#REF!</f>
        <v>#REF!</v>
      </c>
      <c r="L60" s="44"/>
      <c r="M60" s="48">
        <v>30174.414309067877</v>
      </c>
      <c r="N60" s="47">
        <v>0.19850415593901971</v>
      </c>
      <c r="O60" s="48">
        <f t="shared" si="5"/>
        <v>5989.7466433757972</v>
      </c>
      <c r="R60" s="19" t="e">
        <f t="shared" si="6"/>
        <v>#REF!</v>
      </c>
      <c r="S60" s="19" t="e">
        <f t="shared" si="7"/>
        <v>#REF!</v>
      </c>
      <c r="T60" s="36" t="e">
        <f t="shared" si="8"/>
        <v>#REF!</v>
      </c>
      <c r="U60" s="118"/>
      <c r="V60" s="36" t="e">
        <f t="shared" si="3"/>
        <v>#REF!</v>
      </c>
      <c r="W60" s="118"/>
    </row>
    <row r="61" spans="4:36">
      <c r="G61" s="16"/>
      <c r="H61">
        <f t="shared" ref="H61" si="23">+H19</f>
        <v>16</v>
      </c>
      <c r="I61" s="35" t="str">
        <f t="shared" si="20"/>
        <v>alim fresca a Planta Rechazo</v>
      </c>
      <c r="J61" s="58" t="e">
        <f>+#REF!</f>
        <v>#REF!</v>
      </c>
      <c r="K61" s="59" t="e">
        <f>+#REF!</f>
        <v>#REF!</v>
      </c>
      <c r="L61" s="44"/>
      <c r="M61" s="48">
        <v>82755.179012932131</v>
      </c>
      <c r="N61" s="47">
        <v>0.14437754955847257</v>
      </c>
      <c r="O61" s="48">
        <f t="shared" si="5"/>
        <v>11947.989959159877</v>
      </c>
      <c r="R61" s="19" t="e">
        <f t="shared" si="6"/>
        <v>#REF!</v>
      </c>
      <c r="S61" s="19" t="e">
        <f t="shared" si="7"/>
        <v>#REF!</v>
      </c>
      <c r="T61" s="36" t="e">
        <f t="shared" si="8"/>
        <v>#REF!</v>
      </c>
      <c r="U61" s="118"/>
      <c r="V61" s="36" t="e">
        <f t="shared" si="3"/>
        <v>#REF!</v>
      </c>
      <c r="W61" s="118"/>
    </row>
    <row r="62" spans="4:36">
      <c r="D62" s="17" t="e">
        <f>+'Nodos Variac Inventarios'!D8</f>
        <v>#REF!</v>
      </c>
      <c r="E62" s="9" t="e">
        <f>+ABS(D62)</f>
        <v>#REF!</v>
      </c>
      <c r="F62" s="10" t="e">
        <f>+'Nodos Variac Inventarios'!F8</f>
        <v>#REF!</v>
      </c>
      <c r="G62" t="e">
        <f>+IF(D62&gt;0,1,IF(D62&lt;&gt;0,-1,0))</f>
        <v>#REF!</v>
      </c>
      <c r="H62">
        <f t="shared" ref="H62" si="24">+H20</f>
        <v>17</v>
      </c>
      <c r="I62" s="35" t="str">
        <f t="shared" si="20"/>
        <v>Delta Stock de Rechazo</v>
      </c>
      <c r="J62" s="58" t="e">
        <f>+E62</f>
        <v>#REF!</v>
      </c>
      <c r="K62" s="59" t="e">
        <f>+F62</f>
        <v>#REF!</v>
      </c>
      <c r="L62" s="44" t="s">
        <v>62</v>
      </c>
      <c r="M62" s="48">
        <v>14174.322317347074</v>
      </c>
      <c r="N62" s="47">
        <v>0.25498811377226288</v>
      </c>
      <c r="O62" s="48">
        <f t="shared" si="5"/>
        <v>3614.2837117004206</v>
      </c>
      <c r="P62" s="7" t="e">
        <f>+'Nodos Variac Inventarios'!H8</f>
        <v>#REF!</v>
      </c>
      <c r="Q62" s="7" t="e">
        <f>+M62-J62</f>
        <v>#REF!</v>
      </c>
      <c r="R62" s="19" t="e">
        <f t="shared" si="6"/>
        <v>#REF!</v>
      </c>
      <c r="S62" s="19" t="e">
        <f t="shared" si="7"/>
        <v>#REF!</v>
      </c>
      <c r="T62" s="36" t="e">
        <f t="shared" si="8"/>
        <v>#REF!</v>
      </c>
      <c r="U62" s="118"/>
      <c r="V62" s="36" t="e">
        <f t="shared" si="3"/>
        <v>#REF!</v>
      </c>
      <c r="W62" s="118"/>
    </row>
    <row r="63" spans="4:36">
      <c r="G63" s="16"/>
      <c r="H63">
        <f t="shared" ref="H63" si="25">+H21</f>
        <v>18</v>
      </c>
      <c r="I63" s="35" t="str">
        <f t="shared" si="20"/>
        <v>Stock Rechazo a Planta Rechazo</v>
      </c>
      <c r="J63" s="58" t="e">
        <f>+#REF!</f>
        <v>#REF!</v>
      </c>
      <c r="K63" s="59" t="e">
        <f>+#REF!</f>
        <v>#REF!</v>
      </c>
      <c r="L63" s="44"/>
      <c r="M63" s="48">
        <v>44348.736626414939</v>
      </c>
      <c r="N63" s="47">
        <v>0.21655702250803865</v>
      </c>
      <c r="O63" s="48">
        <f t="shared" si="5"/>
        <v>9604.0303558096184</v>
      </c>
      <c r="P63" s="7"/>
      <c r="R63" s="19" t="e">
        <f t="shared" si="6"/>
        <v>#REF!</v>
      </c>
      <c r="S63" s="19" t="e">
        <f t="shared" si="7"/>
        <v>#REF!</v>
      </c>
      <c r="T63" s="36" t="e">
        <f t="shared" si="8"/>
        <v>#REF!</v>
      </c>
      <c r="U63" s="118"/>
      <c r="V63" s="36" t="e">
        <f t="shared" si="3"/>
        <v>#REF!</v>
      </c>
      <c r="W63" s="118">
        <v>0.03</v>
      </c>
    </row>
    <row r="64" spans="4:36">
      <c r="G64" s="16"/>
      <c r="H64">
        <f t="shared" ref="H64" si="26">+H22</f>
        <v>19</v>
      </c>
      <c r="I64" s="35" t="str">
        <f t="shared" si="20"/>
        <v>Alimentación Planta Rechazo</v>
      </c>
      <c r="J64" s="58" t="e">
        <f>+#REF!</f>
        <v>#REF!</v>
      </c>
      <c r="K64" s="59" t="e">
        <f>+#REF!</f>
        <v>#REF!</v>
      </c>
      <c r="L64" s="51"/>
      <c r="M64" s="48">
        <v>127103.91563934706</v>
      </c>
      <c r="N64" s="47">
        <v>0.16956220590496998</v>
      </c>
      <c r="O64" s="48">
        <f t="shared" si="5"/>
        <v>21552.0203149669</v>
      </c>
      <c r="R64" s="19" t="e">
        <f t="shared" si="6"/>
        <v>#REF!</v>
      </c>
      <c r="S64" s="19" t="e">
        <f t="shared" si="7"/>
        <v>#REF!</v>
      </c>
      <c r="T64" s="36" t="e">
        <f t="shared" si="8"/>
        <v>#REF!</v>
      </c>
      <c r="U64" s="118"/>
      <c r="V64" s="36" t="e">
        <f t="shared" si="3"/>
        <v>#REF!</v>
      </c>
      <c r="W64" s="118"/>
    </row>
    <row r="65" spans="4:29">
      <c r="G65" s="16"/>
      <c r="H65">
        <f t="shared" ref="H65" si="27">+H23</f>
        <v>20</v>
      </c>
      <c r="I65" s="37" t="str">
        <f t="shared" si="20"/>
        <v>Rechazo Final Los Colorados</v>
      </c>
      <c r="J65" s="58" t="e">
        <f>+#REF!</f>
        <v>#REF!</v>
      </c>
      <c r="K65" s="59" t="e">
        <f>+#REF!</f>
        <v>#REF!</v>
      </c>
      <c r="L65" s="44" t="s">
        <v>64</v>
      </c>
      <c r="M65" s="48">
        <v>108284.65870939114</v>
      </c>
      <c r="N65" s="47">
        <v>0.12974457621375801</v>
      </c>
      <c r="O65" s="48">
        <f t="shared" si="5"/>
        <v>14049.347154701374</v>
      </c>
      <c r="R65" s="19" t="e">
        <f t="shared" si="6"/>
        <v>#REF!</v>
      </c>
      <c r="S65" s="19" t="e">
        <f t="shared" si="7"/>
        <v>#REF!</v>
      </c>
      <c r="T65" s="36" t="e">
        <f t="shared" si="8"/>
        <v>#REF!</v>
      </c>
      <c r="U65" s="118"/>
      <c r="V65" s="36" t="e">
        <f t="shared" si="3"/>
        <v>#REF!</v>
      </c>
      <c r="W65" s="118"/>
    </row>
    <row r="66" spans="4:29">
      <c r="G66" s="16"/>
      <c r="H66">
        <f t="shared" ref="H66" si="28">+H24</f>
        <v>21</v>
      </c>
      <c r="I66" s="35" t="str">
        <f t="shared" si="20"/>
        <v>Producción Planta Rechazo a Stock P40</v>
      </c>
      <c r="J66" s="58" t="e">
        <f>+#REF!</f>
        <v>#REF!</v>
      </c>
      <c r="K66" s="59" t="e">
        <f>+#REF!</f>
        <v>#REF!</v>
      </c>
      <c r="L66" s="44"/>
      <c r="M66" s="48">
        <v>18819.256929955947</v>
      </c>
      <c r="N66" s="47">
        <v>0.39866999999999997</v>
      </c>
      <c r="O66" s="48">
        <f t="shared" si="5"/>
        <v>7502.6731602655373</v>
      </c>
      <c r="R66" s="19" t="e">
        <f t="shared" si="6"/>
        <v>#REF!</v>
      </c>
      <c r="S66" s="19" t="e">
        <f t="shared" si="7"/>
        <v>#REF!</v>
      </c>
      <c r="T66" s="36" t="e">
        <f t="shared" si="8"/>
        <v>#REF!</v>
      </c>
      <c r="U66" s="118"/>
      <c r="V66" s="36" t="e">
        <f t="shared" si="3"/>
        <v>#REF!</v>
      </c>
      <c r="W66" s="118">
        <v>0.03</v>
      </c>
      <c r="AA66" s="7"/>
      <c r="AB66" s="7"/>
    </row>
    <row r="67" spans="4:29">
      <c r="D67" s="8" t="e">
        <f>+'Nodos Variac Inventarios'!D9</f>
        <v>#REF!</v>
      </c>
      <c r="E67" s="7" t="e">
        <f>+'Nodos Variac Inventarios'!E9</f>
        <v>#REF!</v>
      </c>
      <c r="F67" s="10" t="e">
        <f>+'Nodos Variac Inventarios'!F9</f>
        <v>#REF!</v>
      </c>
      <c r="G67" t="e">
        <f>+IF(D67&gt;0,1,IF(D67&lt;&gt;0,-1,0))</f>
        <v>#REF!</v>
      </c>
      <c r="H67">
        <f t="shared" ref="H67" si="29">+H25</f>
        <v>22</v>
      </c>
      <c r="I67" s="35" t="str">
        <f t="shared" si="20"/>
        <v>Delta Stock P40</v>
      </c>
      <c r="J67" s="58" t="e">
        <f>+E67</f>
        <v>#REF!</v>
      </c>
      <c r="K67" s="59" t="e">
        <f>+F67</f>
        <v>#REF!</v>
      </c>
      <c r="L67" s="44" t="s">
        <v>62</v>
      </c>
      <c r="M67" s="48">
        <v>311.60807004405655</v>
      </c>
      <c r="N67" s="47">
        <v>0.37755839663533081</v>
      </c>
      <c r="O67" s="48">
        <f t="shared" si="5"/>
        <v>117.65024330446384</v>
      </c>
      <c r="P67" t="e">
        <f>+'Nodos Variac Inventarios'!H9</f>
        <v>#REF!</v>
      </c>
      <c r="Q67" s="7" t="e">
        <f>+M67-J67</f>
        <v>#REF!</v>
      </c>
      <c r="R67" s="19" t="e">
        <f t="shared" si="6"/>
        <v>#REF!</v>
      </c>
      <c r="S67" s="19" t="e">
        <f t="shared" si="7"/>
        <v>#REF!</v>
      </c>
      <c r="T67" s="36" t="e">
        <f t="shared" si="8"/>
        <v>#REF!</v>
      </c>
      <c r="U67" s="118"/>
      <c r="V67" s="36" t="e">
        <f t="shared" si="3"/>
        <v>#REF!</v>
      </c>
      <c r="W67" s="118"/>
    </row>
    <row r="68" spans="4:29" ht="16" thickBot="1">
      <c r="G68" s="16"/>
      <c r="H68">
        <f t="shared" ref="H68" si="30">+H26</f>
        <v>23</v>
      </c>
      <c r="I68" s="41" t="str">
        <f t="shared" si="20"/>
        <v>Venta desde P40</v>
      </c>
      <c r="J68" s="60" t="e">
        <f>+#REF!</f>
        <v>#REF!</v>
      </c>
      <c r="K68" s="61" t="e">
        <f>+#REF!</f>
        <v>#REF!</v>
      </c>
      <c r="L68" s="44" t="s">
        <v>63</v>
      </c>
      <c r="M68" s="52">
        <v>19130.865000000002</v>
      </c>
      <c r="N68" s="49">
        <v>0.39832612919332189</v>
      </c>
      <c r="O68" s="52">
        <f t="shared" si="5"/>
        <v>7620.3234035700007</v>
      </c>
      <c r="P68" s="32"/>
      <c r="R68" s="28" t="e">
        <f t="shared" si="6"/>
        <v>#REF!</v>
      </c>
      <c r="S68" s="28" t="e">
        <f t="shared" si="7"/>
        <v>#REF!</v>
      </c>
      <c r="T68" s="36" t="e">
        <f t="shared" si="8"/>
        <v>#REF!</v>
      </c>
      <c r="U68" s="118">
        <v>0</v>
      </c>
      <c r="V68" s="36" t="e">
        <f t="shared" si="3"/>
        <v>#REF!</v>
      </c>
      <c r="W68" s="118">
        <v>0.01</v>
      </c>
      <c r="AA68" s="7"/>
      <c r="AB68" s="7"/>
    </row>
    <row r="69" spans="4:29">
      <c r="G69" s="16"/>
      <c r="H69">
        <f t="shared" ref="H69" si="31">+H27</f>
        <v>24</v>
      </c>
      <c r="I69" s="42" t="str">
        <f>+I27</f>
        <v>de Stoc Prec a Nodo Alim Planta de Pellet</v>
      </c>
      <c r="J69" s="62" t="e">
        <f>+#REF!</f>
        <v>#REF!</v>
      </c>
      <c r="K69" s="63" t="e">
        <f>+#REF!</f>
        <v>#REF!</v>
      </c>
      <c r="L69" s="53" t="s">
        <v>65</v>
      </c>
      <c r="M69" s="57">
        <v>673884.94200000004</v>
      </c>
      <c r="N69" s="50">
        <v>0.60967226044045075</v>
      </c>
      <c r="O69" s="54">
        <f t="shared" si="5"/>
        <v>410848.95586592209</v>
      </c>
      <c r="P69" s="43"/>
      <c r="Q69" s="25"/>
      <c r="R69" s="29" t="e">
        <f t="shared" si="6"/>
        <v>#REF!</v>
      </c>
      <c r="S69" s="30" t="e">
        <f t="shared" si="7"/>
        <v>#REF!</v>
      </c>
      <c r="T69" s="36" t="e">
        <f t="shared" si="8"/>
        <v>#REF!</v>
      </c>
      <c r="U69" s="118">
        <v>0</v>
      </c>
      <c r="V69" s="36" t="e">
        <f t="shared" si="3"/>
        <v>#REF!</v>
      </c>
      <c r="W69" s="118">
        <v>0</v>
      </c>
      <c r="AA69" s="10"/>
      <c r="AB69" s="7"/>
      <c r="AC69" s="7"/>
    </row>
    <row r="70" spans="4:29">
      <c r="I70">
        <v>73294</v>
      </c>
      <c r="AA70" s="10"/>
      <c r="AB70" s="7"/>
    </row>
    <row r="71" spans="4:29">
      <c r="J71" s="325" t="s">
        <v>60</v>
      </c>
      <c r="K71" s="325"/>
      <c r="M71" s="24" t="s">
        <v>44</v>
      </c>
      <c r="N71" s="24"/>
      <c r="R71" s="10" t="e">
        <f>+#REF!</f>
        <v>#REF!</v>
      </c>
      <c r="V71" s="7"/>
    </row>
    <row r="72" spans="4:29" ht="16" thickBot="1">
      <c r="J72" s="15" t="s">
        <v>43</v>
      </c>
      <c r="K72" s="15" t="s">
        <v>37</v>
      </c>
      <c r="M72" s="24" t="s">
        <v>43</v>
      </c>
      <c r="N72" s="24" t="s">
        <v>37</v>
      </c>
      <c r="P72" s="7"/>
    </row>
    <row r="73" spans="4:29">
      <c r="I73" s="6" t="str">
        <f t="shared" ref="I73:I96" si="32">+I46</f>
        <v>Alimentación Mina</v>
      </c>
      <c r="J73" s="18">
        <v>99</v>
      </c>
      <c r="K73" s="21">
        <v>10</v>
      </c>
      <c r="M73" s="7" t="e">
        <f t="shared" ref="M73:M96" si="33">+J73*J46/100</f>
        <v>#REF!</v>
      </c>
      <c r="N73" s="10" t="e">
        <f t="shared" ref="N73:N96" si="34">+K73*K46/100</f>
        <v>#REF!</v>
      </c>
    </row>
    <row r="74" spans="4:29">
      <c r="I74" s="6" t="str">
        <f t="shared" si="32"/>
        <v>Alim a Planta desde Acopio Mina</v>
      </c>
      <c r="J74">
        <v>99</v>
      </c>
      <c r="K74">
        <v>99</v>
      </c>
      <c r="M74" s="7" t="e">
        <f t="shared" si="33"/>
        <v>#REF!</v>
      </c>
      <c r="N74" s="10" t="e">
        <f t="shared" si="34"/>
        <v>#REF!</v>
      </c>
    </row>
    <row r="75" spans="4:29">
      <c r="I75" s="33" t="str">
        <f t="shared" si="32"/>
        <v>Acopio Mina a Terceros</v>
      </c>
      <c r="J75" s="22">
        <v>0.1</v>
      </c>
      <c r="K75" s="22">
        <v>1</v>
      </c>
      <c r="M75" s="7" t="e">
        <f t="shared" si="33"/>
        <v>#REF!</v>
      </c>
      <c r="N75" s="10" t="e">
        <f t="shared" si="34"/>
        <v>#REF!</v>
      </c>
    </row>
    <row r="76" spans="4:29">
      <c r="I76" s="6" t="str">
        <f t="shared" si="32"/>
        <v>Delta S Acopio Mina</v>
      </c>
      <c r="J76">
        <v>99</v>
      </c>
      <c r="K76">
        <v>30</v>
      </c>
      <c r="M76" s="7" t="e">
        <f t="shared" si="33"/>
        <v>#REF!</v>
      </c>
      <c r="N76" s="10" t="e">
        <f t="shared" si="34"/>
        <v>#REF!</v>
      </c>
    </row>
    <row r="77" spans="4:29">
      <c r="I77" s="6" t="str">
        <f t="shared" si="32"/>
        <v>Alim a Chancado</v>
      </c>
      <c r="J77">
        <v>99</v>
      </c>
      <c r="K77">
        <v>30</v>
      </c>
      <c r="M77" s="7" t="e">
        <f t="shared" si="33"/>
        <v>#REF!</v>
      </c>
      <c r="N77" s="10" t="e">
        <f t="shared" si="34"/>
        <v>#REF!</v>
      </c>
    </row>
    <row r="78" spans="4:29">
      <c r="I78" s="6" t="str">
        <f t="shared" si="32"/>
        <v>Chanc a Stock Prec Los Col.</v>
      </c>
      <c r="J78">
        <v>99</v>
      </c>
      <c r="K78">
        <v>30</v>
      </c>
      <c r="M78" s="7">
        <f t="shared" si="33"/>
        <v>0</v>
      </c>
      <c r="N78" s="10">
        <f t="shared" si="34"/>
        <v>0</v>
      </c>
    </row>
    <row r="79" spans="4:29">
      <c r="I79" s="6" t="str">
        <f t="shared" si="32"/>
        <v>Chanc a Stock Grueso</v>
      </c>
      <c r="J79">
        <v>99</v>
      </c>
      <c r="K79">
        <v>30</v>
      </c>
      <c r="M79" s="7" t="e">
        <f t="shared" si="33"/>
        <v>#REF!</v>
      </c>
      <c r="N79" s="10" t="e">
        <f t="shared" si="34"/>
        <v>#REF!</v>
      </c>
    </row>
    <row r="80" spans="4:29">
      <c r="I80" s="6" t="str">
        <f t="shared" si="32"/>
        <v>Delta Stock de Grueso</v>
      </c>
      <c r="J80">
        <v>99</v>
      </c>
      <c r="K80">
        <v>30</v>
      </c>
      <c r="M80" s="7" t="e">
        <f t="shared" si="33"/>
        <v>#REF!</v>
      </c>
      <c r="N80" s="10" t="e">
        <f t="shared" si="34"/>
        <v>#REF!</v>
      </c>
    </row>
    <row r="81" spans="9:14">
      <c r="I81" s="6" t="str">
        <f t="shared" si="32"/>
        <v>De Stock Grueso a conc magn (alim A52 y A82)</v>
      </c>
      <c r="J81">
        <v>99</v>
      </c>
      <c r="K81">
        <v>30</v>
      </c>
      <c r="M81" s="7" t="e">
        <f t="shared" si="33"/>
        <v>#REF!</v>
      </c>
      <c r="N81" s="10" t="e">
        <f t="shared" si="34"/>
        <v>#REF!</v>
      </c>
    </row>
    <row r="82" spans="9:14">
      <c r="I82" s="6" t="str">
        <f t="shared" si="32"/>
        <v>Stock Prec a (o desde) Acopio Mina</v>
      </c>
      <c r="J82">
        <v>99</v>
      </c>
      <c r="K82">
        <v>30</v>
      </c>
      <c r="M82" s="7" t="e">
        <f t="shared" si="33"/>
        <v>#REF!</v>
      </c>
      <c r="N82" s="10" t="e">
        <f t="shared" si="34"/>
        <v>#REF!</v>
      </c>
    </row>
    <row r="83" spans="9:14">
      <c r="I83" s="6" t="str">
        <f t="shared" si="32"/>
        <v>Delta Stock Prec</v>
      </c>
      <c r="J83">
        <v>99</v>
      </c>
      <c r="K83">
        <v>30</v>
      </c>
      <c r="M83" s="7" t="e">
        <f t="shared" si="33"/>
        <v>#REF!</v>
      </c>
      <c r="N83" s="10" t="e">
        <f t="shared" si="34"/>
        <v>#REF!</v>
      </c>
    </row>
    <row r="84" spans="9:14">
      <c r="I84" s="33" t="str">
        <f t="shared" si="32"/>
        <v>de Stock Prec a Terceros (a otras faenas)</v>
      </c>
      <c r="J84" s="22">
        <v>0.1</v>
      </c>
      <c r="K84" s="22">
        <v>1</v>
      </c>
      <c r="M84" s="7" t="e">
        <f t="shared" si="33"/>
        <v>#REF!</v>
      </c>
      <c r="N84" s="10" t="e">
        <f t="shared" si="34"/>
        <v>#REF!</v>
      </c>
    </row>
    <row r="85" spans="9:14">
      <c r="I85" s="6" t="str">
        <f t="shared" si="32"/>
        <v>de Conc Magnética a Stock Prec (Prod A52 y A 82)</v>
      </c>
      <c r="J85">
        <v>99</v>
      </c>
      <c r="K85">
        <v>99</v>
      </c>
      <c r="M85" s="7" t="e">
        <f t="shared" si="33"/>
        <v>#REF!</v>
      </c>
      <c r="N85" s="10" t="e">
        <f t="shared" si="34"/>
        <v>#REF!</v>
      </c>
    </row>
    <row r="86" spans="9:14">
      <c r="I86" s="6" t="str">
        <f t="shared" si="32"/>
        <v>total de rechazo</v>
      </c>
      <c r="J86">
        <v>99</v>
      </c>
      <c r="K86">
        <v>10</v>
      </c>
      <c r="M86" s="7" t="e">
        <f t="shared" si="33"/>
        <v>#REF!</v>
      </c>
      <c r="N86" s="10" t="e">
        <f t="shared" si="34"/>
        <v>#REF!</v>
      </c>
    </row>
    <row r="87" spans="9:14">
      <c r="I87" s="6" t="str">
        <f t="shared" si="32"/>
        <v>Rechazo  a Stock de Rechazo</v>
      </c>
      <c r="J87">
        <v>99</v>
      </c>
      <c r="K87">
        <v>10</v>
      </c>
      <c r="M87" s="7" t="e">
        <f t="shared" si="33"/>
        <v>#REF!</v>
      </c>
      <c r="N87" s="10" t="e">
        <f t="shared" si="34"/>
        <v>#REF!</v>
      </c>
    </row>
    <row r="88" spans="9:14">
      <c r="I88" s="6" t="str">
        <f t="shared" si="32"/>
        <v>alim fresca a Planta Rechazo</v>
      </c>
      <c r="J88">
        <v>99</v>
      </c>
      <c r="K88">
        <v>10</v>
      </c>
      <c r="M88" s="7" t="e">
        <f t="shared" si="33"/>
        <v>#REF!</v>
      </c>
      <c r="N88" s="10" t="e">
        <f t="shared" si="34"/>
        <v>#REF!</v>
      </c>
    </row>
    <row r="89" spans="9:14">
      <c r="I89" s="6" t="str">
        <f t="shared" si="32"/>
        <v>Delta Stock de Rechazo</v>
      </c>
      <c r="J89">
        <v>99</v>
      </c>
      <c r="K89">
        <v>10</v>
      </c>
      <c r="M89" s="7" t="e">
        <f t="shared" si="33"/>
        <v>#REF!</v>
      </c>
      <c r="N89" s="10" t="e">
        <f t="shared" si="34"/>
        <v>#REF!</v>
      </c>
    </row>
    <row r="90" spans="9:14">
      <c r="I90" s="6" t="str">
        <f t="shared" si="32"/>
        <v>Stock Rechazo a Planta Rechazo</v>
      </c>
      <c r="J90">
        <v>99</v>
      </c>
      <c r="K90">
        <v>10</v>
      </c>
      <c r="M90" s="7" t="e">
        <f t="shared" si="33"/>
        <v>#REF!</v>
      </c>
      <c r="N90" s="10" t="e">
        <f t="shared" si="34"/>
        <v>#REF!</v>
      </c>
    </row>
    <row r="91" spans="9:14">
      <c r="I91" s="6" t="str">
        <f t="shared" si="32"/>
        <v>Alimentación Planta Rechazo</v>
      </c>
      <c r="J91">
        <v>99</v>
      </c>
      <c r="K91">
        <v>10</v>
      </c>
      <c r="M91" s="7" t="e">
        <f t="shared" si="33"/>
        <v>#REF!</v>
      </c>
      <c r="N91" s="10" t="e">
        <f t="shared" si="34"/>
        <v>#REF!</v>
      </c>
    </row>
    <row r="92" spans="9:14">
      <c r="I92" s="6" t="str">
        <f t="shared" si="32"/>
        <v>Rechazo Final Los Colorados</v>
      </c>
      <c r="J92" s="22">
        <v>99</v>
      </c>
      <c r="K92">
        <v>10</v>
      </c>
      <c r="M92" s="7" t="e">
        <f t="shared" si="33"/>
        <v>#REF!</v>
      </c>
      <c r="N92" s="10" t="e">
        <f t="shared" si="34"/>
        <v>#REF!</v>
      </c>
    </row>
    <row r="93" spans="9:14">
      <c r="I93" s="6" t="str">
        <f t="shared" si="32"/>
        <v>Producción Planta Rechazo a Stock P40</v>
      </c>
      <c r="J93" s="22">
        <v>99</v>
      </c>
      <c r="K93">
        <v>10</v>
      </c>
      <c r="M93" s="7" t="e">
        <f t="shared" si="33"/>
        <v>#REF!</v>
      </c>
      <c r="N93" s="10" t="e">
        <f t="shared" si="34"/>
        <v>#REF!</v>
      </c>
    </row>
    <row r="94" spans="9:14">
      <c r="I94" s="6" t="str">
        <f t="shared" si="32"/>
        <v>Delta Stock P40</v>
      </c>
      <c r="J94" s="22">
        <v>99</v>
      </c>
      <c r="K94">
        <v>10</v>
      </c>
      <c r="M94" s="7" t="e">
        <f t="shared" si="33"/>
        <v>#REF!</v>
      </c>
      <c r="N94" s="10" t="e">
        <f t="shared" si="34"/>
        <v>#REF!</v>
      </c>
    </row>
    <row r="95" spans="9:14" ht="16" thickBot="1">
      <c r="I95" s="33" t="str">
        <f t="shared" si="32"/>
        <v>Venta desde P40</v>
      </c>
      <c r="J95" s="22">
        <v>0.1</v>
      </c>
      <c r="K95">
        <v>10</v>
      </c>
      <c r="M95" s="7" t="e">
        <f t="shared" si="33"/>
        <v>#REF!</v>
      </c>
      <c r="N95" s="10" t="e">
        <f t="shared" si="34"/>
        <v>#REF!</v>
      </c>
    </row>
    <row r="96" spans="9:14">
      <c r="I96" s="27" t="str">
        <f t="shared" si="32"/>
        <v>de Stoc Prec a Nodo Alim Planta de Pellet</v>
      </c>
      <c r="J96">
        <v>99</v>
      </c>
      <c r="K96">
        <v>30</v>
      </c>
      <c r="M96" s="7" t="e">
        <f t="shared" si="33"/>
        <v>#REF!</v>
      </c>
      <c r="N96" s="10" t="e">
        <f t="shared" si="34"/>
        <v>#REF!</v>
      </c>
    </row>
    <row r="98" spans="9:11">
      <c r="J98" s="24" t="s">
        <v>45</v>
      </c>
      <c r="K98" s="24"/>
    </row>
    <row r="99" spans="9:11" ht="16" thickBot="1">
      <c r="J99" s="15" t="s">
        <v>43</v>
      </c>
      <c r="K99" s="15" t="s">
        <v>37</v>
      </c>
    </row>
    <row r="100" spans="9:11" ht="16" thickBot="1">
      <c r="I100" s="6" t="str">
        <f t="shared" ref="I100:I123" si="35">+I73</f>
        <v>Alimentación Mina</v>
      </c>
      <c r="J100" s="18" t="e">
        <f t="shared" ref="J100:J123" si="36">+IF(M73&lt;&gt;0,(M46-J46)^2/M73,"")</f>
        <v>#REF!</v>
      </c>
      <c r="K100" s="18" t="e">
        <f t="shared" ref="K100:K123" si="37">+IF(N73&lt;&gt;0,(N46-K46)^2/N73,"")</f>
        <v>#REF!</v>
      </c>
    </row>
    <row r="101" spans="9:11" ht="16" thickBot="1">
      <c r="I101" s="6" t="str">
        <f t="shared" si="35"/>
        <v>Alim a Planta desde Acopio Mina</v>
      </c>
      <c r="J101" s="18" t="e">
        <f t="shared" si="36"/>
        <v>#REF!</v>
      </c>
      <c r="K101" s="18" t="e">
        <f t="shared" si="37"/>
        <v>#REF!</v>
      </c>
    </row>
    <row r="102" spans="9:11" ht="16" thickBot="1">
      <c r="I102" s="6" t="str">
        <f t="shared" si="35"/>
        <v>Acopio Mina a Terceros</v>
      </c>
      <c r="J102" s="18" t="e">
        <f t="shared" si="36"/>
        <v>#REF!</v>
      </c>
      <c r="K102" s="18" t="e">
        <f t="shared" si="37"/>
        <v>#REF!</v>
      </c>
    </row>
    <row r="103" spans="9:11" ht="16" thickBot="1">
      <c r="I103" s="6" t="str">
        <f t="shared" si="35"/>
        <v>Delta S Acopio Mina</v>
      </c>
      <c r="J103" s="18" t="e">
        <f t="shared" si="36"/>
        <v>#REF!</v>
      </c>
      <c r="K103" s="18" t="e">
        <f t="shared" si="37"/>
        <v>#REF!</v>
      </c>
    </row>
    <row r="104" spans="9:11" ht="16" thickBot="1">
      <c r="I104" s="6" t="str">
        <f t="shared" si="35"/>
        <v>Alim a Chancado</v>
      </c>
      <c r="J104" s="18" t="e">
        <f t="shared" si="36"/>
        <v>#REF!</v>
      </c>
      <c r="K104" s="18" t="e">
        <f t="shared" si="37"/>
        <v>#REF!</v>
      </c>
    </row>
    <row r="105" spans="9:11" ht="16" thickBot="1">
      <c r="I105" s="6" t="str">
        <f t="shared" si="35"/>
        <v>Chanc a Stock Prec Los Col.</v>
      </c>
      <c r="J105" s="18" t="str">
        <f t="shared" si="36"/>
        <v/>
      </c>
      <c r="K105" s="18" t="str">
        <f t="shared" si="37"/>
        <v/>
      </c>
    </row>
    <row r="106" spans="9:11" ht="16" thickBot="1">
      <c r="I106" s="6" t="str">
        <f t="shared" si="35"/>
        <v>Chanc a Stock Grueso</v>
      </c>
      <c r="J106" s="18" t="e">
        <f t="shared" si="36"/>
        <v>#REF!</v>
      </c>
      <c r="K106" s="18" t="e">
        <f t="shared" si="37"/>
        <v>#REF!</v>
      </c>
    </row>
    <row r="107" spans="9:11" ht="16" thickBot="1">
      <c r="I107" s="6" t="str">
        <f t="shared" si="35"/>
        <v>Delta Stock de Grueso</v>
      </c>
      <c r="J107" s="18" t="e">
        <f t="shared" si="36"/>
        <v>#REF!</v>
      </c>
      <c r="K107" s="18" t="e">
        <f t="shared" si="37"/>
        <v>#REF!</v>
      </c>
    </row>
    <row r="108" spans="9:11" ht="16" thickBot="1">
      <c r="I108" s="6" t="str">
        <f t="shared" si="35"/>
        <v>De Stock Grueso a conc magn (alim A52 y A82)</v>
      </c>
      <c r="J108" s="18" t="e">
        <f t="shared" si="36"/>
        <v>#REF!</v>
      </c>
      <c r="K108" s="18" t="e">
        <f t="shared" si="37"/>
        <v>#REF!</v>
      </c>
    </row>
    <row r="109" spans="9:11" ht="16" thickBot="1">
      <c r="I109" s="6" t="str">
        <f t="shared" si="35"/>
        <v>Stock Prec a (o desde) Acopio Mina</v>
      </c>
      <c r="J109" s="18" t="e">
        <f t="shared" si="36"/>
        <v>#REF!</v>
      </c>
      <c r="K109" s="18" t="e">
        <f t="shared" si="37"/>
        <v>#REF!</v>
      </c>
    </row>
    <row r="110" spans="9:11" ht="16" thickBot="1">
      <c r="I110" s="6" t="str">
        <f t="shared" si="35"/>
        <v>Delta Stock Prec</v>
      </c>
      <c r="J110" s="18" t="e">
        <f t="shared" si="36"/>
        <v>#REF!</v>
      </c>
      <c r="K110" s="18" t="e">
        <f t="shared" si="37"/>
        <v>#REF!</v>
      </c>
    </row>
    <row r="111" spans="9:11" ht="16" thickBot="1">
      <c r="I111" s="6" t="str">
        <f t="shared" si="35"/>
        <v>de Stock Prec a Terceros (a otras faenas)</v>
      </c>
      <c r="J111" s="18" t="e">
        <f t="shared" si="36"/>
        <v>#REF!</v>
      </c>
      <c r="K111" s="18" t="e">
        <f t="shared" si="37"/>
        <v>#REF!</v>
      </c>
    </row>
    <row r="112" spans="9:11" ht="16" thickBot="1">
      <c r="I112" s="6" t="str">
        <f t="shared" si="35"/>
        <v>de Conc Magnética a Stock Prec (Prod A52 y A 82)</v>
      </c>
      <c r="J112" s="18" t="e">
        <f t="shared" si="36"/>
        <v>#REF!</v>
      </c>
      <c r="K112" s="18" t="e">
        <f t="shared" si="37"/>
        <v>#REF!</v>
      </c>
    </row>
    <row r="113" spans="9:11" ht="16" thickBot="1">
      <c r="I113" s="6" t="str">
        <f t="shared" si="35"/>
        <v>total de rechazo</v>
      </c>
      <c r="J113" s="18" t="e">
        <f t="shared" si="36"/>
        <v>#REF!</v>
      </c>
      <c r="K113" s="18" t="e">
        <f t="shared" si="37"/>
        <v>#REF!</v>
      </c>
    </row>
    <row r="114" spans="9:11" ht="16" thickBot="1">
      <c r="I114" s="6" t="str">
        <f t="shared" si="35"/>
        <v>Rechazo  a Stock de Rechazo</v>
      </c>
      <c r="J114" s="18" t="e">
        <f t="shared" si="36"/>
        <v>#REF!</v>
      </c>
      <c r="K114" s="18" t="e">
        <f t="shared" si="37"/>
        <v>#REF!</v>
      </c>
    </row>
    <row r="115" spans="9:11" ht="16" thickBot="1">
      <c r="I115" s="6" t="str">
        <f t="shared" si="35"/>
        <v>alim fresca a Planta Rechazo</v>
      </c>
      <c r="J115" s="18" t="e">
        <f t="shared" si="36"/>
        <v>#REF!</v>
      </c>
      <c r="K115" s="18" t="e">
        <f t="shared" si="37"/>
        <v>#REF!</v>
      </c>
    </row>
    <row r="116" spans="9:11" ht="16" thickBot="1">
      <c r="I116" s="6" t="str">
        <f t="shared" si="35"/>
        <v>Delta Stock de Rechazo</v>
      </c>
      <c r="J116" s="18" t="e">
        <f t="shared" si="36"/>
        <v>#REF!</v>
      </c>
      <c r="K116" s="18" t="e">
        <f t="shared" si="37"/>
        <v>#REF!</v>
      </c>
    </row>
    <row r="117" spans="9:11" ht="16" thickBot="1">
      <c r="I117" s="6" t="str">
        <f t="shared" si="35"/>
        <v>Stock Rechazo a Planta Rechazo</v>
      </c>
      <c r="J117" s="18" t="e">
        <f t="shared" si="36"/>
        <v>#REF!</v>
      </c>
      <c r="K117" s="18" t="e">
        <f t="shared" si="37"/>
        <v>#REF!</v>
      </c>
    </row>
    <row r="118" spans="9:11" ht="16" thickBot="1">
      <c r="I118" s="6" t="str">
        <f t="shared" si="35"/>
        <v>Alimentación Planta Rechazo</v>
      </c>
      <c r="J118" s="18" t="e">
        <f t="shared" si="36"/>
        <v>#REF!</v>
      </c>
      <c r="K118" s="18" t="e">
        <f t="shared" si="37"/>
        <v>#REF!</v>
      </c>
    </row>
    <row r="119" spans="9:11" ht="16" thickBot="1">
      <c r="I119" s="6" t="str">
        <f t="shared" si="35"/>
        <v>Rechazo Final Los Colorados</v>
      </c>
      <c r="J119" s="18" t="e">
        <f t="shared" si="36"/>
        <v>#REF!</v>
      </c>
      <c r="K119" s="18" t="e">
        <f t="shared" si="37"/>
        <v>#REF!</v>
      </c>
    </row>
    <row r="120" spans="9:11" ht="16" thickBot="1">
      <c r="I120" s="6" t="str">
        <f t="shared" si="35"/>
        <v>Producción Planta Rechazo a Stock P40</v>
      </c>
      <c r="J120" s="18" t="e">
        <f t="shared" si="36"/>
        <v>#REF!</v>
      </c>
      <c r="K120" s="18" t="e">
        <f t="shared" si="37"/>
        <v>#REF!</v>
      </c>
    </row>
    <row r="121" spans="9:11" ht="16" thickBot="1">
      <c r="I121" s="6" t="str">
        <f t="shared" si="35"/>
        <v>Delta Stock P40</v>
      </c>
      <c r="J121" s="18" t="e">
        <f t="shared" si="36"/>
        <v>#REF!</v>
      </c>
      <c r="K121" s="18" t="e">
        <f t="shared" si="37"/>
        <v>#REF!</v>
      </c>
    </row>
    <row r="122" spans="9:11" ht="16" thickBot="1">
      <c r="I122" s="6" t="str">
        <f t="shared" si="35"/>
        <v>Venta desde P40</v>
      </c>
      <c r="J122" s="18" t="e">
        <f t="shared" si="36"/>
        <v>#REF!</v>
      </c>
      <c r="K122" s="18" t="e">
        <f t="shared" si="37"/>
        <v>#REF!</v>
      </c>
    </row>
    <row r="123" spans="9:11">
      <c r="I123" s="6" t="str">
        <f t="shared" si="35"/>
        <v>de Stoc Prec a Nodo Alim Planta de Pellet</v>
      </c>
      <c r="J123" s="18" t="e">
        <f t="shared" si="36"/>
        <v>#REF!</v>
      </c>
      <c r="K123" s="18" t="e">
        <f t="shared" si="37"/>
        <v>#REF!</v>
      </c>
    </row>
  </sheetData>
  <mergeCells count="4">
    <mergeCell ref="M44:O44"/>
    <mergeCell ref="J44:K44"/>
    <mergeCell ref="J71:K71"/>
    <mergeCell ref="R44:S44"/>
  </mergeCells>
  <conditionalFormatting sqref="J4:T27 Q28:R43">
    <cfRule type="expression" dxfId="13" priority="8">
      <formula>J4&lt;&gt;0</formula>
    </cfRule>
  </conditionalFormatting>
  <conditionalFormatting sqref="R46:T69 V46:V69">
    <cfRule type="expression" dxfId="12" priority="5">
      <formula>ABS(R46)&gt;=10%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1:Y63"/>
  <sheetViews>
    <sheetView showGridLines="0" topLeftCell="A13" zoomScale="55" zoomScaleNormal="55" workbookViewId="0">
      <selection activeCell="M36" sqref="M36"/>
    </sheetView>
  </sheetViews>
  <sheetFormatPr baseColWidth="10" defaultRowHeight="15"/>
  <cols>
    <col min="1" max="1" width="4.83203125" customWidth="1"/>
    <col min="5" max="5" width="16" customWidth="1"/>
    <col min="7" max="7" width="13.1640625" bestFit="1" customWidth="1"/>
    <col min="8" max="8" width="13.5" customWidth="1"/>
    <col min="9" max="9" width="14.83203125" customWidth="1"/>
    <col min="10" max="10" width="13.5" customWidth="1"/>
    <col min="13" max="13" width="10.83203125" customWidth="1"/>
    <col min="14" max="14" width="12.83203125" customWidth="1"/>
    <col min="15" max="15" width="15.5" customWidth="1"/>
    <col min="16" max="16" width="11.83203125" bestFit="1" customWidth="1"/>
    <col min="18" max="18" width="7.5" customWidth="1"/>
    <col min="20" max="20" width="5.5" customWidth="1"/>
  </cols>
  <sheetData>
    <row r="1" spans="2:20" ht="16" thickBot="1"/>
    <row r="2" spans="2:20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79"/>
    </row>
    <row r="3" spans="2:20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81"/>
    </row>
    <row r="4" spans="2:20">
      <c r="B4" s="8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81"/>
    </row>
    <row r="5" spans="2:20">
      <c r="B5" s="8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81"/>
    </row>
    <row r="6" spans="2:20" ht="16">
      <c r="B6" s="80"/>
      <c r="C6" s="23"/>
      <c r="D6" s="23"/>
      <c r="E6" s="23"/>
      <c r="F6" s="86">
        <f>+'Bal Los Colorados'!M47</f>
        <v>0</v>
      </c>
      <c r="G6" s="23"/>
      <c r="H6" s="23"/>
      <c r="I6" s="88">
        <f>+'Bal Los Colorados'!M46</f>
        <v>502781.82030850503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81"/>
    </row>
    <row r="7" spans="2:20" ht="16">
      <c r="B7" s="80"/>
      <c r="C7" s="23"/>
      <c r="D7" s="23"/>
      <c r="E7" s="85">
        <f>+-C8+D16-F6</f>
        <v>1770.5761999999995</v>
      </c>
      <c r="F7" s="87">
        <f>+'Bal Los Colorados'!N47</f>
        <v>0</v>
      </c>
      <c r="G7" s="23"/>
      <c r="H7" s="23"/>
      <c r="I7" s="91">
        <f>+'Bal Los Colorados'!N46</f>
        <v>0.46140050554742984</v>
      </c>
      <c r="J7" s="23"/>
      <c r="K7" s="23"/>
      <c r="L7" s="23"/>
      <c r="M7" s="23"/>
      <c r="N7" s="23"/>
      <c r="O7" s="23"/>
      <c r="P7" s="339" t="s">
        <v>106</v>
      </c>
      <c r="Q7" s="339"/>
      <c r="R7" s="23"/>
      <c r="S7" s="23"/>
      <c r="T7" s="81"/>
    </row>
    <row r="8" spans="2:20" ht="16">
      <c r="B8" s="80"/>
      <c r="C8" s="88">
        <f>+'Bal Los Colorados'!M48</f>
        <v>12961.629000000001</v>
      </c>
      <c r="D8" s="23"/>
      <c r="E8" s="23"/>
      <c r="F8" s="90">
        <f>+'Bal Los Colorados'!O47</f>
        <v>0</v>
      </c>
      <c r="G8" s="23"/>
      <c r="H8" s="23"/>
      <c r="I8" s="92">
        <f>+'Bal Los Colorados'!O46</f>
        <v>231983.78607040126</v>
      </c>
      <c r="J8" s="23"/>
      <c r="K8" s="23"/>
      <c r="L8" s="23"/>
      <c r="M8" s="23"/>
      <c r="N8" s="23"/>
      <c r="O8" s="23"/>
      <c r="P8" s="114" t="s">
        <v>107</v>
      </c>
      <c r="Q8" s="115">
        <f>+I25/K20</f>
        <v>0.75353481009949175</v>
      </c>
      <c r="R8" s="23"/>
      <c r="S8" s="23"/>
      <c r="T8" s="81"/>
    </row>
    <row r="9" spans="2:20" ht="16">
      <c r="B9" s="80"/>
      <c r="C9" s="91">
        <f>+'Bal Los Colorados'!N48</f>
        <v>0.59443308072967893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14" t="s">
        <v>108</v>
      </c>
      <c r="Q9" s="115">
        <f>+I27/K22</f>
        <v>0.91700160865247149</v>
      </c>
      <c r="R9" s="23"/>
      <c r="S9" s="23"/>
      <c r="T9" s="81"/>
    </row>
    <row r="10" spans="2:20" ht="16">
      <c r="B10" s="80"/>
      <c r="C10" s="92">
        <f>+'Bal Los Colorados'!O48</f>
        <v>7704.8210577451482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339" t="s">
        <v>25</v>
      </c>
      <c r="Q10" s="339"/>
      <c r="R10" s="23"/>
      <c r="S10" s="23"/>
      <c r="T10" s="81"/>
    </row>
    <row r="11" spans="2:20" ht="16">
      <c r="B11" s="80"/>
      <c r="C11" s="23"/>
      <c r="D11" s="23"/>
      <c r="E11" s="23"/>
      <c r="F11" s="23"/>
      <c r="G11" s="23"/>
      <c r="H11" s="23"/>
      <c r="I11" s="23"/>
      <c r="J11" s="88">
        <f>+'Bal Los Colorados'!M52</f>
        <v>502781.82030850503</v>
      </c>
      <c r="K11" s="23"/>
      <c r="L11" s="23"/>
      <c r="M11" s="23"/>
      <c r="N11" s="23"/>
      <c r="O11" s="23"/>
      <c r="P11" s="114" t="s">
        <v>107</v>
      </c>
      <c r="Q11" s="115">
        <f>+O33/(P22+M30)</f>
        <v>0.1480619761814021</v>
      </c>
      <c r="R11" s="23"/>
      <c r="S11" s="23"/>
      <c r="T11" s="81"/>
    </row>
    <row r="12" spans="2:20" ht="16">
      <c r="B12" s="80"/>
      <c r="C12" s="23"/>
      <c r="D12" s="23"/>
      <c r="E12" s="23"/>
      <c r="F12" s="23"/>
      <c r="G12" s="23"/>
      <c r="H12" s="88">
        <f>+'Bal Los Colorados'!M50</f>
        <v>502781.82030850503</v>
      </c>
      <c r="I12" s="23"/>
      <c r="J12" s="91">
        <f>+'Bal Los Colorados'!N52</f>
        <v>0.46140050554742978</v>
      </c>
      <c r="K12" s="23"/>
      <c r="L12" s="23"/>
      <c r="M12" s="23"/>
      <c r="N12" s="23"/>
      <c r="O12" s="23"/>
      <c r="P12" s="114" t="s">
        <v>108</v>
      </c>
      <c r="Q12" s="115">
        <f>+O35/(P24+M32)</f>
        <v>0.34811925056763093</v>
      </c>
      <c r="R12" s="23"/>
      <c r="S12" s="23"/>
      <c r="T12" s="81"/>
    </row>
    <row r="13" spans="2:20" ht="16">
      <c r="B13" s="80"/>
      <c r="C13" s="23"/>
      <c r="D13" s="23"/>
      <c r="E13" s="23"/>
      <c r="F13" s="23"/>
      <c r="G13" s="23"/>
      <c r="H13" s="91">
        <f>+'Bal Los Colorados'!N50</f>
        <v>0.46140050554742978</v>
      </c>
      <c r="I13" s="23"/>
      <c r="J13" s="92">
        <f>+'Bal Los Colorados'!O52</f>
        <v>231983.78607040123</v>
      </c>
      <c r="K13" s="23"/>
      <c r="L13" s="23"/>
      <c r="M13" s="23"/>
      <c r="N13" s="23"/>
      <c r="O13" s="23"/>
      <c r="P13" s="340" t="s">
        <v>109</v>
      </c>
      <c r="Q13" s="340"/>
      <c r="R13" s="23"/>
      <c r="S13" s="23"/>
      <c r="T13" s="81"/>
    </row>
    <row r="14" spans="2:20" ht="16">
      <c r="B14" s="80"/>
      <c r="C14" s="23"/>
      <c r="D14" s="23"/>
      <c r="E14" s="23"/>
      <c r="F14" s="23"/>
      <c r="G14" s="23"/>
      <c r="H14" s="92">
        <f>+'Bal Los Colorados'!O50</f>
        <v>231983.78607040123</v>
      </c>
      <c r="I14" s="23"/>
      <c r="J14" s="23"/>
      <c r="K14" s="23"/>
      <c r="L14" s="23"/>
      <c r="M14" s="23"/>
      <c r="N14" s="23"/>
      <c r="O14" s="23"/>
      <c r="P14" s="114" t="s">
        <v>107</v>
      </c>
      <c r="Q14" s="115">
        <f>+(O33+I25)/(K20+(M30+P22-(L25-M15)))</f>
        <v>0.72448459461366954</v>
      </c>
      <c r="R14" s="23"/>
      <c r="S14" s="23"/>
      <c r="T14" s="81"/>
    </row>
    <row r="15" spans="2:20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86">
        <f>+'Bal Los Colorados'!M60</f>
        <v>30174.414309067877</v>
      </c>
      <c r="N15" s="23"/>
      <c r="O15" s="23"/>
      <c r="P15" s="114" t="s">
        <v>108</v>
      </c>
      <c r="Q15" s="115">
        <f>+(O34+I27)/(K22+(M32+P24-(L27-M17)))</f>
        <v>0.87798735665130323</v>
      </c>
      <c r="R15" s="23"/>
      <c r="S15" s="23"/>
      <c r="T15" s="81"/>
    </row>
    <row r="16" spans="2:20" ht="16">
      <c r="B16" s="80"/>
      <c r="C16" s="23"/>
      <c r="D16" s="86">
        <f>+'Bal Los Colorados'!M55</f>
        <v>14732.2052</v>
      </c>
      <c r="E16" s="23"/>
      <c r="F16" s="23"/>
      <c r="G16" s="23"/>
      <c r="H16" s="23"/>
      <c r="I16" s="23"/>
      <c r="J16" s="23"/>
      <c r="K16" s="23"/>
      <c r="L16" s="23"/>
      <c r="M16" s="87">
        <f>+'Bal Los Colorados'!N60</f>
        <v>0.19850415593901971</v>
      </c>
      <c r="N16" s="23"/>
      <c r="O16" s="23"/>
      <c r="P16" s="23"/>
      <c r="Q16" s="23"/>
      <c r="R16" s="23"/>
      <c r="S16" s="23"/>
      <c r="T16" s="81"/>
    </row>
    <row r="17" spans="2:25" ht="16">
      <c r="B17" s="80"/>
      <c r="C17" s="23"/>
      <c r="D17" s="87">
        <f>+'Bal Los Colorados'!N55</f>
        <v>0.60105751253405559</v>
      </c>
      <c r="E17" s="23"/>
      <c r="F17" s="23"/>
      <c r="G17" s="23"/>
      <c r="H17" s="23"/>
      <c r="I17" s="23"/>
      <c r="J17" s="23"/>
      <c r="K17" s="23"/>
      <c r="L17" s="23"/>
      <c r="M17" s="90">
        <f>+'Bal Los Colorados'!O60</f>
        <v>5989.7466433757972</v>
      </c>
      <c r="N17" s="23"/>
      <c r="O17" s="23"/>
      <c r="P17" s="23"/>
      <c r="Q17" s="23"/>
      <c r="R17" s="23"/>
      <c r="S17" s="23"/>
      <c r="T17" s="81"/>
    </row>
    <row r="18" spans="2:25" ht="16">
      <c r="B18" s="80"/>
      <c r="C18" s="23"/>
      <c r="D18" s="90">
        <f>+'Bal Los Colorados'!O55</f>
        <v>8854.9026116532787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81"/>
    </row>
    <row r="19" spans="2:25" ht="16">
      <c r="B19" s="80"/>
      <c r="C19" s="23"/>
      <c r="D19" s="23"/>
      <c r="E19" s="23"/>
      <c r="F19" s="23"/>
      <c r="G19" s="23"/>
      <c r="H19" s="88"/>
      <c r="I19" s="23"/>
      <c r="J19" s="85">
        <f>+J11-K20</f>
        <v>44584.890479986498</v>
      </c>
      <c r="K19" s="23"/>
      <c r="L19" s="23"/>
      <c r="M19" s="23"/>
      <c r="N19" s="23"/>
      <c r="O19" s="23"/>
      <c r="P19" s="23"/>
      <c r="Q19" s="23"/>
      <c r="R19" s="23"/>
      <c r="S19" s="23"/>
      <c r="T19" s="81"/>
      <c r="X19">
        <v>13390</v>
      </c>
      <c r="Y19" s="7">
        <f>+J11+X20</f>
        <v>542951.82030850509</v>
      </c>
    </row>
    <row r="20" spans="2:25" ht="16">
      <c r="B20" s="80"/>
      <c r="C20" s="23"/>
      <c r="D20" s="23"/>
      <c r="E20" s="23"/>
      <c r="F20" s="23"/>
      <c r="G20" s="23"/>
      <c r="H20" s="91"/>
      <c r="I20" s="23"/>
      <c r="J20" s="23"/>
      <c r="K20" s="88">
        <f>+'Bal Los Colorados'!M54</f>
        <v>458196.92982851854</v>
      </c>
      <c r="L20" s="23"/>
      <c r="M20" s="23"/>
      <c r="N20" s="23"/>
      <c r="O20" s="85">
        <f>+M15-P22</f>
        <v>-14174.322317347061</v>
      </c>
      <c r="P20" s="23"/>
      <c r="Q20" s="23"/>
      <c r="R20" s="23"/>
      <c r="S20" s="23"/>
      <c r="T20" s="81"/>
      <c r="X20">
        <f>+X19*3</f>
        <v>40170</v>
      </c>
    </row>
    <row r="21" spans="2:25" ht="16">
      <c r="B21" s="80"/>
      <c r="C21" s="23"/>
      <c r="D21" s="23"/>
      <c r="E21" s="23"/>
      <c r="F21" s="23"/>
      <c r="G21" s="23"/>
      <c r="H21" s="92"/>
      <c r="I21" s="23"/>
      <c r="J21" s="23"/>
      <c r="K21" s="91">
        <f>+'Bal Los Colorados'!N54</f>
        <v>0.47167818710941145</v>
      </c>
      <c r="L21" s="23"/>
      <c r="M21" s="23"/>
      <c r="N21" s="23"/>
      <c r="O21" s="23"/>
      <c r="P21" s="23"/>
      <c r="Q21" s="23"/>
      <c r="R21" s="23"/>
      <c r="S21" s="23"/>
      <c r="T21" s="81"/>
    </row>
    <row r="22" spans="2:25" ht="16">
      <c r="B22" s="116"/>
      <c r="C22" s="23"/>
      <c r="D22" s="23"/>
      <c r="E22" s="23"/>
      <c r="F22" s="23"/>
      <c r="G22" s="23"/>
      <c r="H22" s="23"/>
      <c r="I22" s="23"/>
      <c r="J22" s="23"/>
      <c r="K22" s="92">
        <f>+'Bal Los Colorados'!O54</f>
        <v>216121.49720061384</v>
      </c>
      <c r="L22" s="23"/>
      <c r="M22" s="23"/>
      <c r="N22" s="23"/>
      <c r="O22" s="23"/>
      <c r="P22" s="86">
        <f>+'Bal Los Colorados'!M63</f>
        <v>44348.736626414939</v>
      </c>
      <c r="Q22" s="23"/>
      <c r="R22" s="23"/>
      <c r="S22" s="23"/>
      <c r="T22" s="81"/>
    </row>
    <row r="23" spans="2:25" ht="16">
      <c r="B23" s="8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87">
        <f>+'Bal Los Colorados'!N63</f>
        <v>0.21655702250803865</v>
      </c>
      <c r="Q23" s="23"/>
      <c r="R23" s="23"/>
      <c r="S23" s="23"/>
      <c r="T23" s="81"/>
    </row>
    <row r="24" spans="2:25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0">
        <f>+'Bal Los Colorados'!O63</f>
        <v>9604.0303558096184</v>
      </c>
      <c r="Q24" s="23"/>
      <c r="R24" s="23"/>
      <c r="S24" s="23"/>
      <c r="T24" s="81"/>
    </row>
    <row r="25" spans="2:25" ht="16">
      <c r="B25" s="80"/>
      <c r="C25" s="23"/>
      <c r="D25" s="23"/>
      <c r="E25" s="23"/>
      <c r="F25" s="23"/>
      <c r="G25" s="23"/>
      <c r="H25" s="23"/>
      <c r="I25" s="88">
        <f>+'Bal Los Colorados'!M58</f>
        <v>345267.33650650288</v>
      </c>
      <c r="J25" s="23"/>
      <c r="K25" s="23"/>
      <c r="L25" s="88">
        <f>+'Bal Los Colorados'!M59</f>
        <v>112929.59332199999</v>
      </c>
      <c r="M25" s="23"/>
      <c r="N25" s="23"/>
      <c r="O25" s="23"/>
      <c r="P25" s="23"/>
      <c r="Q25" s="23"/>
      <c r="R25" s="23"/>
      <c r="S25" s="23"/>
      <c r="T25" s="81"/>
    </row>
    <row r="26" spans="2:25" ht="16">
      <c r="B26" s="80"/>
      <c r="C26" s="23"/>
      <c r="D26" s="23"/>
      <c r="E26" s="23"/>
      <c r="F26" s="23"/>
      <c r="G26" s="23"/>
      <c r="H26" s="23"/>
      <c r="I26" s="91">
        <f>+'Bal Los Colorados'!N58</f>
        <v>0.57400089624061745</v>
      </c>
      <c r="J26" s="23"/>
      <c r="K26" s="23"/>
      <c r="L26" s="91">
        <f>+'Bal Los Colorados'!N59</f>
        <v>0.15884000000000001</v>
      </c>
      <c r="M26" s="23"/>
      <c r="N26" s="23"/>
      <c r="O26" s="23"/>
      <c r="P26" s="23"/>
      <c r="Q26" s="23"/>
      <c r="R26" s="23"/>
      <c r="S26" s="23"/>
      <c r="T26" s="81"/>
    </row>
    <row r="27" spans="2:25" ht="16">
      <c r="B27" s="80"/>
      <c r="C27" s="23"/>
      <c r="D27" s="23"/>
      <c r="E27" s="23"/>
      <c r="F27" s="23"/>
      <c r="G27" s="101">
        <f>+I25-C28-G36-D16</f>
        <v>-359512.14169349719</v>
      </c>
      <c r="H27" s="23"/>
      <c r="I27" s="92">
        <f>+'Bal Los Colorados'!O58</f>
        <v>198183.7605973435</v>
      </c>
      <c r="J27" s="23"/>
      <c r="K27" s="23"/>
      <c r="L27" s="92">
        <f>+'Bal Los Colorados'!O59</f>
        <v>17937.73660326648</v>
      </c>
      <c r="M27" s="23"/>
      <c r="N27" s="23"/>
      <c r="O27" s="23"/>
      <c r="P27" s="23"/>
      <c r="Q27" s="23"/>
      <c r="R27" s="23"/>
      <c r="S27" s="23"/>
      <c r="T27" s="81"/>
    </row>
    <row r="28" spans="2:25" ht="16">
      <c r="B28" s="80"/>
      <c r="C28" s="88">
        <f>+'Bal Los Colorados'!M57</f>
        <v>16162.331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6">
        <f>+'Bal Los Colorados'!M65</f>
        <v>108284.65870939114</v>
      </c>
      <c r="T28" s="81"/>
    </row>
    <row r="29" spans="2:25" ht="16">
      <c r="B29" s="80"/>
      <c r="C29" s="91">
        <f>+'Bal Los Colorados'!N57</f>
        <v>0.59864253060095862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7">
        <f>+'Bal Los Colorados'!N65</f>
        <v>0.12974457621375801</v>
      </c>
      <c r="T29" s="81"/>
    </row>
    <row r="30" spans="2:25" ht="16">
      <c r="B30" s="80"/>
      <c r="C30" s="92">
        <f>+'Bal Los Colorados'!O57</f>
        <v>9675.4587302503223</v>
      </c>
      <c r="D30" s="23"/>
      <c r="E30" s="23"/>
      <c r="F30" s="23"/>
      <c r="G30" s="23"/>
      <c r="H30" s="23"/>
      <c r="I30" s="23"/>
      <c r="J30" s="23"/>
      <c r="K30" s="8"/>
      <c r="L30" s="23"/>
      <c r="M30" s="86">
        <f>+'Bal Los Colorados'!M61</f>
        <v>82755.179012932131</v>
      </c>
      <c r="N30" s="23"/>
      <c r="O30" s="23"/>
      <c r="P30" s="23"/>
      <c r="Q30" s="23"/>
      <c r="R30" s="23"/>
      <c r="S30" s="90">
        <f>+'Bal Los Colorados'!O65</f>
        <v>14049.347154701374</v>
      </c>
      <c r="T30" s="81"/>
    </row>
    <row r="31" spans="2:25" ht="16">
      <c r="B31" s="80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87">
        <f>+'Bal Los Colorados'!N61</f>
        <v>0.14437754955847257</v>
      </c>
      <c r="N31" s="23"/>
      <c r="O31" s="23"/>
      <c r="P31" s="23"/>
      <c r="Q31" s="23"/>
      <c r="R31" s="23"/>
      <c r="S31" s="23"/>
      <c r="T31" s="81"/>
    </row>
    <row r="32" spans="2:25" ht="16">
      <c r="B32" s="80"/>
      <c r="C32" s="23"/>
      <c r="D32" s="23"/>
      <c r="E32" s="23"/>
      <c r="F32" s="23"/>
      <c r="G32" s="23"/>
      <c r="H32" s="23"/>
      <c r="I32" s="8">
        <f>+I25-D16</f>
        <v>330535.13130650285</v>
      </c>
      <c r="J32" s="23"/>
      <c r="K32" s="23"/>
      <c r="L32" s="23"/>
      <c r="M32" s="90">
        <f>+'Bal Los Colorados'!O61</f>
        <v>11947.989959159877</v>
      </c>
      <c r="N32" s="23"/>
      <c r="O32" s="23"/>
      <c r="P32" s="23"/>
      <c r="Q32" s="23"/>
      <c r="R32" s="23"/>
      <c r="S32" s="23"/>
      <c r="T32" s="81"/>
    </row>
    <row r="33" spans="2:20" ht="16">
      <c r="B33" s="8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86">
        <f>+'Bal Los Colorados'!M66</f>
        <v>18819.256929955947</v>
      </c>
      <c r="P33" s="23"/>
      <c r="Q33" s="23"/>
      <c r="R33" s="23"/>
      <c r="S33" s="23"/>
      <c r="T33" s="81"/>
    </row>
    <row r="34" spans="2:20" ht="16">
      <c r="B34" s="8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87">
        <f>+'Bal Los Colorados'!N66</f>
        <v>0.39866999999999997</v>
      </c>
      <c r="P34" s="23"/>
      <c r="Q34" s="23"/>
      <c r="R34" s="23"/>
      <c r="S34" s="23"/>
      <c r="T34" s="81"/>
    </row>
    <row r="35" spans="2:20" ht="16">
      <c r="B35" s="8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90">
        <f>+'Bal Los Colorados'!O66</f>
        <v>7502.6731602655373</v>
      </c>
      <c r="P35" s="23"/>
      <c r="Q35" s="23"/>
      <c r="R35" s="23"/>
      <c r="S35" s="23"/>
      <c r="T35" s="81"/>
    </row>
    <row r="36" spans="2:20" ht="16">
      <c r="B36" s="80"/>
      <c r="C36" s="23"/>
      <c r="D36" s="23"/>
      <c r="E36" s="23"/>
      <c r="F36" s="23"/>
      <c r="G36" s="86">
        <f>+'Bal Los Colorados'!M69</f>
        <v>673884.94200000004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6">
        <f>+'Bal Los Colorados'!M68</f>
        <v>19130.865000000002</v>
      </c>
      <c r="T36" s="81"/>
    </row>
    <row r="37" spans="2:20" ht="16">
      <c r="B37" s="80"/>
      <c r="C37" s="23"/>
      <c r="D37" s="23"/>
      <c r="E37" s="23"/>
      <c r="F37" s="23"/>
      <c r="G37" s="87">
        <f>+'Bal Los Colorados'!N69</f>
        <v>0.60967226044045075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7">
        <f>+'Bal Los Colorados'!N68</f>
        <v>0.39832612919332189</v>
      </c>
      <c r="T37" s="81"/>
    </row>
    <row r="38" spans="2:20" ht="16">
      <c r="B38" s="80"/>
      <c r="C38" s="23"/>
      <c r="D38" s="23"/>
      <c r="E38" s="23"/>
      <c r="F38" s="23"/>
      <c r="G38" s="90">
        <f>+'Bal Los Colorados'!O69</f>
        <v>410848.95586592209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90">
        <f>+'Bal Los Colorados'!O68</f>
        <v>7620.3234035700007</v>
      </c>
      <c r="T38" s="81"/>
    </row>
    <row r="39" spans="2:20">
      <c r="B39" s="8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81"/>
    </row>
    <row r="40" spans="2:20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85">
        <f>+O33-S36</f>
        <v>-311.60807004405433</v>
      </c>
      <c r="Q40" s="23"/>
      <c r="R40" s="23"/>
      <c r="S40" s="23"/>
      <c r="T40" s="81"/>
    </row>
    <row r="41" spans="2:20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81"/>
    </row>
    <row r="42" spans="2:20" ht="16" thickBot="1">
      <c r="B42" s="98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100"/>
    </row>
    <row r="43" spans="2:20" ht="16">
      <c r="E43" s="75" t="s">
        <v>88</v>
      </c>
    </row>
    <row r="44" spans="2:20" ht="32.25" customHeight="1">
      <c r="E44" s="341" t="s">
        <v>71</v>
      </c>
      <c r="F44" s="341"/>
      <c r="G44" s="342"/>
      <c r="H44" s="341" t="s">
        <v>82</v>
      </c>
      <c r="I44" s="341"/>
      <c r="J44" s="341"/>
      <c r="K44" s="338" t="s">
        <v>70</v>
      </c>
      <c r="L44" s="338"/>
      <c r="M44" s="338"/>
      <c r="N44" s="338"/>
    </row>
    <row r="45" spans="2:20">
      <c r="E45" s="68" t="s">
        <v>72</v>
      </c>
      <c r="F45" s="68"/>
      <c r="G45" s="66">
        <f>+I6</f>
        <v>502781.82030850503</v>
      </c>
      <c r="H45" s="332" t="s">
        <v>73</v>
      </c>
      <c r="I45" s="332"/>
      <c r="J45" s="66">
        <f>+E7</f>
        <v>1770.5761999999995</v>
      </c>
      <c r="K45" s="332" t="s">
        <v>78</v>
      </c>
      <c r="L45" s="332"/>
      <c r="M45" s="332"/>
      <c r="N45" s="66">
        <f>+C8</f>
        <v>12961.629000000001</v>
      </c>
    </row>
    <row r="46" spans="2:20">
      <c r="E46" s="333"/>
      <c r="F46" s="334"/>
      <c r="G46" s="20"/>
      <c r="H46" s="332" t="s">
        <v>74</v>
      </c>
      <c r="I46" s="332"/>
      <c r="J46" s="66">
        <f>+J19</f>
        <v>44584.890479986498</v>
      </c>
      <c r="K46" s="332" t="s">
        <v>79</v>
      </c>
      <c r="L46" s="332"/>
      <c r="M46" s="332"/>
      <c r="N46" s="66">
        <f>+C28</f>
        <v>16162.331</v>
      </c>
    </row>
    <row r="47" spans="2:20">
      <c r="E47" s="333"/>
      <c r="F47" s="334"/>
      <c r="G47" s="20"/>
      <c r="H47" s="332" t="s">
        <v>75</v>
      </c>
      <c r="I47" s="332"/>
      <c r="J47" s="66">
        <f>+G27</f>
        <v>-359512.14169349719</v>
      </c>
      <c r="K47" s="332" t="s">
        <v>80</v>
      </c>
      <c r="L47" s="332"/>
      <c r="M47" s="332"/>
      <c r="N47" s="66">
        <f>+S36</f>
        <v>19130.865000000002</v>
      </c>
    </row>
    <row r="48" spans="2:20">
      <c r="E48" s="333"/>
      <c r="F48" s="334"/>
      <c r="G48" s="20"/>
      <c r="H48" s="67" t="s">
        <v>76</v>
      </c>
      <c r="I48" s="67"/>
      <c r="J48" s="66">
        <f>+O20</f>
        <v>-14174.322317347061</v>
      </c>
      <c r="K48" s="332" t="s">
        <v>81</v>
      </c>
      <c r="L48" s="332"/>
      <c r="M48" s="332"/>
      <c r="N48" s="66">
        <f>+S28</f>
        <v>108284.65870939114</v>
      </c>
    </row>
    <row r="49" spans="5:14">
      <c r="E49" s="333"/>
      <c r="F49" s="334"/>
      <c r="G49" s="20"/>
      <c r="H49" s="332" t="s">
        <v>77</v>
      </c>
      <c r="I49" s="332"/>
      <c r="J49" s="66">
        <f>+P40</f>
        <v>-311.60807004405433</v>
      </c>
      <c r="K49" s="332" t="s">
        <v>86</v>
      </c>
      <c r="L49" s="332"/>
      <c r="M49" s="332"/>
      <c r="N49" s="66">
        <f>+G36</f>
        <v>673884.94200000004</v>
      </c>
    </row>
    <row r="50" spans="5:14" ht="19">
      <c r="E50" s="328" t="s">
        <v>84</v>
      </c>
      <c r="F50" s="329"/>
      <c r="G50" s="69">
        <f>+G45</f>
        <v>502781.82030850503</v>
      </c>
      <c r="H50" s="330" t="s">
        <v>83</v>
      </c>
      <c r="I50" s="330"/>
      <c r="J50" s="77">
        <f>+SUM(J45:J49)</f>
        <v>-327642.60540090181</v>
      </c>
      <c r="K50" s="331" t="s">
        <v>85</v>
      </c>
      <c r="L50" s="331"/>
      <c r="M50" s="331"/>
      <c r="N50" s="69">
        <f>+SUM(N45:N49)</f>
        <v>830424.42570939125</v>
      </c>
    </row>
    <row r="52" spans="5:14" ht="19">
      <c r="J52" s="76" t="s">
        <v>87</v>
      </c>
      <c r="K52" s="71"/>
      <c r="L52" s="70"/>
      <c r="M52" s="71"/>
      <c r="N52" s="72">
        <f>+G50-J50-N50</f>
        <v>1.5599653124809265E-8</v>
      </c>
    </row>
    <row r="53" spans="5:14" ht="19">
      <c r="F53" s="73"/>
      <c r="G53" s="73"/>
      <c r="H53" s="73"/>
      <c r="I53" s="73"/>
      <c r="J53" s="74"/>
    </row>
    <row r="54" spans="5:14" ht="16">
      <c r="E54" s="75" t="s">
        <v>89</v>
      </c>
    </row>
    <row r="55" spans="5:14" ht="19">
      <c r="E55" s="335" t="s">
        <v>71</v>
      </c>
      <c r="F55" s="335"/>
      <c r="G55" s="336"/>
      <c r="H55" s="335" t="s">
        <v>82</v>
      </c>
      <c r="I55" s="335"/>
      <c r="J55" s="335"/>
      <c r="K55" s="337" t="s">
        <v>70</v>
      </c>
      <c r="L55" s="337"/>
      <c r="M55" s="337"/>
      <c r="N55" s="337"/>
    </row>
    <row r="56" spans="5:14">
      <c r="E56" s="68" t="s">
        <v>72</v>
      </c>
      <c r="F56" s="68"/>
      <c r="G56" s="66">
        <f>+I8</f>
        <v>231983.78607040126</v>
      </c>
      <c r="H56" s="332" t="s">
        <v>73</v>
      </c>
      <c r="I56" s="332"/>
      <c r="J56" s="66" t="e">
        <f>+'Bal Los Colorados'!O49*'Bal Los Colorados'!G49</f>
        <v>#REF!</v>
      </c>
      <c r="K56" s="332" t="s">
        <v>78</v>
      </c>
      <c r="L56" s="332"/>
      <c r="M56" s="332"/>
      <c r="N56" s="66">
        <f>+C10</f>
        <v>7704.8210577451482</v>
      </c>
    </row>
    <row r="57" spans="5:14">
      <c r="E57" s="333"/>
      <c r="F57" s="334"/>
      <c r="G57" s="20"/>
      <c r="H57" s="332" t="s">
        <v>74</v>
      </c>
      <c r="I57" s="332"/>
      <c r="J57" s="66" t="e">
        <f>+'Bal Los Colorados'!O53*'Bal Los Colorados'!G53</f>
        <v>#REF!</v>
      </c>
      <c r="K57" s="332" t="s">
        <v>79</v>
      </c>
      <c r="L57" s="332"/>
      <c r="M57" s="332"/>
      <c r="N57" s="66">
        <f>+C30</f>
        <v>9675.4587302503223</v>
      </c>
    </row>
    <row r="58" spans="5:14">
      <c r="E58" s="333"/>
      <c r="F58" s="334"/>
      <c r="G58" s="20"/>
      <c r="H58" s="332" t="s">
        <v>75</v>
      </c>
      <c r="I58" s="332"/>
      <c r="J58" s="66" t="e">
        <f>+'Bal Los Colorados'!O56*'Bal Los Colorados'!G56</f>
        <v>#REF!</v>
      </c>
      <c r="K58" s="332" t="s">
        <v>80</v>
      </c>
      <c r="L58" s="332"/>
      <c r="M58" s="332"/>
      <c r="N58" s="66">
        <f>+S38</f>
        <v>7620.3234035700007</v>
      </c>
    </row>
    <row r="59" spans="5:14">
      <c r="E59" s="333"/>
      <c r="F59" s="334"/>
      <c r="G59" s="20"/>
      <c r="H59" s="67" t="s">
        <v>76</v>
      </c>
      <c r="I59" s="67"/>
      <c r="J59" s="66" t="e">
        <f>+'Bal Los Colorados'!O62*'Bal Los Colorados'!G62</f>
        <v>#REF!</v>
      </c>
      <c r="K59" s="332" t="s">
        <v>81</v>
      </c>
      <c r="L59" s="332"/>
      <c r="M59" s="332"/>
      <c r="N59" s="66">
        <f>+S30</f>
        <v>14049.347154701374</v>
      </c>
    </row>
    <row r="60" spans="5:14">
      <c r="E60" s="333"/>
      <c r="F60" s="334"/>
      <c r="G60" s="20"/>
      <c r="H60" s="332" t="s">
        <v>77</v>
      </c>
      <c r="I60" s="332"/>
      <c r="J60" s="66" t="e">
        <f>+'Bal Los Colorados'!O67*'Bal Los Colorados'!G67</f>
        <v>#REF!</v>
      </c>
      <c r="K60" s="332" t="s">
        <v>86</v>
      </c>
      <c r="L60" s="332"/>
      <c r="M60" s="332"/>
      <c r="N60" s="66">
        <f>+G38</f>
        <v>410848.95586592209</v>
      </c>
    </row>
    <row r="61" spans="5:14" ht="19">
      <c r="E61" s="328" t="s">
        <v>84</v>
      </c>
      <c r="F61" s="329"/>
      <c r="G61" s="69">
        <f>+G56</f>
        <v>231983.78607040126</v>
      </c>
      <c r="H61" s="330" t="s">
        <v>83</v>
      </c>
      <c r="I61" s="330"/>
      <c r="J61" s="77" t="e">
        <f>+SUM(J56:J60)</f>
        <v>#REF!</v>
      </c>
      <c r="K61" s="331" t="s">
        <v>85</v>
      </c>
      <c r="L61" s="331"/>
      <c r="M61" s="331"/>
      <c r="N61" s="69">
        <f>+SUM(N56:N60)</f>
        <v>449898.90621218894</v>
      </c>
    </row>
    <row r="63" spans="5:14" ht="19">
      <c r="J63" s="76" t="s">
        <v>87</v>
      </c>
      <c r="K63" s="71"/>
      <c r="L63" s="70"/>
      <c r="M63" s="71"/>
      <c r="N63" s="72" t="e">
        <f>+G61-J61-N61</f>
        <v>#REF!</v>
      </c>
    </row>
  </sheetData>
  <mergeCells count="41">
    <mergeCell ref="P7:Q7"/>
    <mergeCell ref="P10:Q10"/>
    <mergeCell ref="P13:Q13"/>
    <mergeCell ref="K50:M50"/>
    <mergeCell ref="E44:G44"/>
    <mergeCell ref="H47:I47"/>
    <mergeCell ref="H46:I46"/>
    <mergeCell ref="H45:I45"/>
    <mergeCell ref="H44:J44"/>
    <mergeCell ref="E55:G55"/>
    <mergeCell ref="H55:J55"/>
    <mergeCell ref="K55:N55"/>
    <mergeCell ref="K44:N44"/>
    <mergeCell ref="K49:M49"/>
    <mergeCell ref="E46:F46"/>
    <mergeCell ref="E47:F47"/>
    <mergeCell ref="E48:F48"/>
    <mergeCell ref="E49:F49"/>
    <mergeCell ref="H49:I49"/>
    <mergeCell ref="H50:I50"/>
    <mergeCell ref="K45:M45"/>
    <mergeCell ref="K46:M46"/>
    <mergeCell ref="K47:M47"/>
    <mergeCell ref="K48:M48"/>
    <mergeCell ref="E50:F50"/>
    <mergeCell ref="E61:F61"/>
    <mergeCell ref="H61:I61"/>
    <mergeCell ref="K61:M61"/>
    <mergeCell ref="H56:I56"/>
    <mergeCell ref="K56:M56"/>
    <mergeCell ref="E57:F57"/>
    <mergeCell ref="H57:I57"/>
    <mergeCell ref="K57:M57"/>
    <mergeCell ref="E58:F58"/>
    <mergeCell ref="H58:I58"/>
    <mergeCell ref="K58:M58"/>
    <mergeCell ref="E59:F59"/>
    <mergeCell ref="K59:M59"/>
    <mergeCell ref="E60:F60"/>
    <mergeCell ref="H60:I60"/>
    <mergeCell ref="K60:M60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</xm:sqref>
        </x14:conditionalFormatting>
        <x14:conditionalFormatting xmlns:xm="http://schemas.microsoft.com/office/excel/2006/main">
          <x14:cfRule type="iconSet" priority="6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5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4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</xm:sqref>
        </x14:conditionalFormatting>
        <x14:conditionalFormatting xmlns:xm="http://schemas.microsoft.com/office/excel/2006/main">
          <x14:cfRule type="iconSet" priority="3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9DB0D7FE-1346-4C39-B4CE-3FF92CE0A1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1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ADC4-458D-C745-B459-AC5A0F458911}">
  <sheetPr>
    <pageSetUpPr fitToPage="1"/>
  </sheetPr>
  <dimension ref="B1:S41"/>
  <sheetViews>
    <sheetView showGridLines="0" zoomScaleNormal="100" workbookViewId="0">
      <pane xSplit="3" ySplit="8" topLeftCell="D9" activePane="bottomRight" state="frozen"/>
      <selection pane="topRight"/>
      <selection pane="bottomLeft"/>
      <selection pane="bottomRight" activeCell="G16" sqref="G16"/>
    </sheetView>
  </sheetViews>
  <sheetFormatPr baseColWidth="10" defaultColWidth="6.33203125" defaultRowHeight="15" customHeight="1"/>
  <cols>
    <col min="1" max="2" width="2.1640625" style="121" customWidth="1"/>
    <col min="3" max="3" width="15.5" style="121" hidden="1" customWidth="1"/>
    <col min="4" max="5" width="12.83203125" style="121" customWidth="1"/>
    <col min="6" max="6" width="15.1640625" style="121" customWidth="1"/>
    <col min="7" max="7" width="12" style="121" customWidth="1"/>
    <col min="8" max="8" width="12.33203125" style="121" customWidth="1"/>
    <col min="9" max="9" width="13.5" style="121" customWidth="1"/>
    <col min="10" max="12" width="13" style="121" customWidth="1"/>
    <col min="13" max="13" width="14.83203125" style="121" customWidth="1"/>
    <col min="14" max="14" width="13.33203125" style="121" customWidth="1"/>
    <col min="15" max="15" width="13.5" style="121" customWidth="1"/>
    <col min="16" max="16" width="2.1640625" style="121" customWidth="1"/>
    <col min="17" max="17" width="13.83203125" style="121" customWidth="1"/>
    <col min="18" max="18" width="10.6640625" style="121" customWidth="1"/>
    <col min="19" max="19" width="12" style="121" customWidth="1"/>
    <col min="20" max="20" width="11.5" style="121" customWidth="1"/>
    <col min="21" max="21" width="16" style="121" customWidth="1"/>
    <col min="22" max="23" width="10.6640625" style="121" customWidth="1"/>
    <col min="24" max="24" width="15.5" style="121" customWidth="1"/>
    <col min="25" max="25" width="11.5" style="121" customWidth="1"/>
    <col min="26" max="26" width="12" style="121" customWidth="1"/>
    <col min="27" max="27" width="11.5" style="121" customWidth="1"/>
    <col min="28" max="28" width="12" style="121" customWidth="1"/>
    <col min="29" max="29" width="11.5" style="121" customWidth="1"/>
    <col min="30" max="30" width="12.83203125" style="121" customWidth="1"/>
    <col min="31" max="31" width="10.6640625" style="121" customWidth="1"/>
    <col min="32" max="32" width="19" style="121" customWidth="1"/>
    <col min="33" max="33" width="13.33203125" style="121" customWidth="1"/>
    <col min="34" max="34" width="18" style="121" customWidth="1"/>
    <col min="35" max="35" width="42.5" style="121" customWidth="1"/>
    <col min="36" max="36" width="31" style="121" customWidth="1"/>
    <col min="37" max="37" width="35" style="121" customWidth="1"/>
    <col min="38" max="38" width="31" style="121" customWidth="1"/>
    <col min="39" max="39" width="35" style="121" customWidth="1"/>
    <col min="40" max="40" width="31" style="121" customWidth="1"/>
    <col min="41" max="41" width="37.83203125" style="121" customWidth="1"/>
    <col min="42" max="42" width="11.5" style="121" customWidth="1"/>
    <col min="43" max="43" width="54" style="121" customWidth="1"/>
    <col min="44" max="44" width="43.5" style="121" customWidth="1"/>
    <col min="45" max="45" width="44.6640625" style="121" customWidth="1"/>
    <col min="46" max="255" width="6.33203125" style="121"/>
    <col min="256" max="257" width="2.1640625" style="121" customWidth="1"/>
    <col min="258" max="258" width="0" style="121" hidden="1" customWidth="1"/>
    <col min="259" max="261" width="12.83203125" style="121" customWidth="1"/>
    <col min="262" max="262" width="12" style="121" customWidth="1"/>
    <col min="263" max="263" width="12.33203125" style="121" customWidth="1"/>
    <col min="264" max="264" width="13.5" style="121" customWidth="1"/>
    <col min="265" max="265" width="0" style="121" hidden="1" customWidth="1"/>
    <col min="266" max="268" width="13" style="121" customWidth="1"/>
    <col min="269" max="269" width="14.83203125" style="121" customWidth="1"/>
    <col min="270" max="270" width="13.33203125" style="121" customWidth="1"/>
    <col min="271" max="271" width="13.5" style="121" customWidth="1"/>
    <col min="272" max="272" width="2.1640625" style="121" customWidth="1"/>
    <col min="273" max="273" width="13.83203125" style="121" customWidth="1"/>
    <col min="274" max="274" width="10.6640625" style="121" customWidth="1"/>
    <col min="275" max="275" width="12" style="121" customWidth="1"/>
    <col min="276" max="276" width="11.5" style="121" customWidth="1"/>
    <col min="277" max="277" width="16" style="121" customWidth="1"/>
    <col min="278" max="279" width="10.6640625" style="121" customWidth="1"/>
    <col min="280" max="280" width="15.5" style="121" customWidth="1"/>
    <col min="281" max="281" width="11.5" style="121" customWidth="1"/>
    <col min="282" max="282" width="12" style="121" customWidth="1"/>
    <col min="283" max="283" width="11.5" style="121" customWidth="1"/>
    <col min="284" max="284" width="12" style="121" customWidth="1"/>
    <col min="285" max="285" width="11.5" style="121" customWidth="1"/>
    <col min="286" max="286" width="12.83203125" style="121" customWidth="1"/>
    <col min="287" max="287" width="10.6640625" style="121" customWidth="1"/>
    <col min="288" max="288" width="19" style="121" customWidth="1"/>
    <col min="289" max="289" width="13.33203125" style="121" customWidth="1"/>
    <col min="290" max="290" width="18" style="121" customWidth="1"/>
    <col min="291" max="291" width="42.5" style="121" customWidth="1"/>
    <col min="292" max="292" width="31" style="121" customWidth="1"/>
    <col min="293" max="293" width="35" style="121" customWidth="1"/>
    <col min="294" max="294" width="31" style="121" customWidth="1"/>
    <col min="295" max="295" width="35" style="121" customWidth="1"/>
    <col min="296" max="296" width="31" style="121" customWidth="1"/>
    <col min="297" max="297" width="37.83203125" style="121" customWidth="1"/>
    <col min="298" max="298" width="11.5" style="121" customWidth="1"/>
    <col min="299" max="299" width="54" style="121" customWidth="1"/>
    <col min="300" max="300" width="43.5" style="121" customWidth="1"/>
    <col min="301" max="301" width="44.6640625" style="121" customWidth="1"/>
    <col min="302" max="511" width="6.33203125" style="121"/>
    <col min="512" max="513" width="2.1640625" style="121" customWidth="1"/>
    <col min="514" max="514" width="0" style="121" hidden="1" customWidth="1"/>
    <col min="515" max="517" width="12.83203125" style="121" customWidth="1"/>
    <col min="518" max="518" width="12" style="121" customWidth="1"/>
    <col min="519" max="519" width="12.33203125" style="121" customWidth="1"/>
    <col min="520" max="520" width="13.5" style="121" customWidth="1"/>
    <col min="521" max="521" width="0" style="121" hidden="1" customWidth="1"/>
    <col min="522" max="524" width="13" style="121" customWidth="1"/>
    <col min="525" max="525" width="14.83203125" style="121" customWidth="1"/>
    <col min="526" max="526" width="13.33203125" style="121" customWidth="1"/>
    <col min="527" max="527" width="13.5" style="121" customWidth="1"/>
    <col min="528" max="528" width="2.1640625" style="121" customWidth="1"/>
    <col min="529" max="529" width="13.83203125" style="121" customWidth="1"/>
    <col min="530" max="530" width="10.6640625" style="121" customWidth="1"/>
    <col min="531" max="531" width="12" style="121" customWidth="1"/>
    <col min="532" max="532" width="11.5" style="121" customWidth="1"/>
    <col min="533" max="533" width="16" style="121" customWidth="1"/>
    <col min="534" max="535" width="10.6640625" style="121" customWidth="1"/>
    <col min="536" max="536" width="15.5" style="121" customWidth="1"/>
    <col min="537" max="537" width="11.5" style="121" customWidth="1"/>
    <col min="538" max="538" width="12" style="121" customWidth="1"/>
    <col min="539" max="539" width="11.5" style="121" customWidth="1"/>
    <col min="540" max="540" width="12" style="121" customWidth="1"/>
    <col min="541" max="541" width="11.5" style="121" customWidth="1"/>
    <col min="542" max="542" width="12.83203125" style="121" customWidth="1"/>
    <col min="543" max="543" width="10.6640625" style="121" customWidth="1"/>
    <col min="544" max="544" width="19" style="121" customWidth="1"/>
    <col min="545" max="545" width="13.33203125" style="121" customWidth="1"/>
    <col min="546" max="546" width="18" style="121" customWidth="1"/>
    <col min="547" max="547" width="42.5" style="121" customWidth="1"/>
    <col min="548" max="548" width="31" style="121" customWidth="1"/>
    <col min="549" max="549" width="35" style="121" customWidth="1"/>
    <col min="550" max="550" width="31" style="121" customWidth="1"/>
    <col min="551" max="551" width="35" style="121" customWidth="1"/>
    <col min="552" max="552" width="31" style="121" customWidth="1"/>
    <col min="553" max="553" width="37.83203125" style="121" customWidth="1"/>
    <col min="554" max="554" width="11.5" style="121" customWidth="1"/>
    <col min="555" max="555" width="54" style="121" customWidth="1"/>
    <col min="556" max="556" width="43.5" style="121" customWidth="1"/>
    <col min="557" max="557" width="44.6640625" style="121" customWidth="1"/>
    <col min="558" max="767" width="6.33203125" style="121"/>
    <col min="768" max="769" width="2.1640625" style="121" customWidth="1"/>
    <col min="770" max="770" width="0" style="121" hidden="1" customWidth="1"/>
    <col min="771" max="773" width="12.83203125" style="121" customWidth="1"/>
    <col min="774" max="774" width="12" style="121" customWidth="1"/>
    <col min="775" max="775" width="12.33203125" style="121" customWidth="1"/>
    <col min="776" max="776" width="13.5" style="121" customWidth="1"/>
    <col min="777" max="777" width="0" style="121" hidden="1" customWidth="1"/>
    <col min="778" max="780" width="13" style="121" customWidth="1"/>
    <col min="781" max="781" width="14.83203125" style="121" customWidth="1"/>
    <col min="782" max="782" width="13.33203125" style="121" customWidth="1"/>
    <col min="783" max="783" width="13.5" style="121" customWidth="1"/>
    <col min="784" max="784" width="2.1640625" style="121" customWidth="1"/>
    <col min="785" max="785" width="13.83203125" style="121" customWidth="1"/>
    <col min="786" max="786" width="10.6640625" style="121" customWidth="1"/>
    <col min="787" max="787" width="12" style="121" customWidth="1"/>
    <col min="788" max="788" width="11.5" style="121" customWidth="1"/>
    <col min="789" max="789" width="16" style="121" customWidth="1"/>
    <col min="790" max="791" width="10.6640625" style="121" customWidth="1"/>
    <col min="792" max="792" width="15.5" style="121" customWidth="1"/>
    <col min="793" max="793" width="11.5" style="121" customWidth="1"/>
    <col min="794" max="794" width="12" style="121" customWidth="1"/>
    <col min="795" max="795" width="11.5" style="121" customWidth="1"/>
    <col min="796" max="796" width="12" style="121" customWidth="1"/>
    <col min="797" max="797" width="11.5" style="121" customWidth="1"/>
    <col min="798" max="798" width="12.83203125" style="121" customWidth="1"/>
    <col min="799" max="799" width="10.6640625" style="121" customWidth="1"/>
    <col min="800" max="800" width="19" style="121" customWidth="1"/>
    <col min="801" max="801" width="13.33203125" style="121" customWidth="1"/>
    <col min="802" max="802" width="18" style="121" customWidth="1"/>
    <col min="803" max="803" width="42.5" style="121" customWidth="1"/>
    <col min="804" max="804" width="31" style="121" customWidth="1"/>
    <col min="805" max="805" width="35" style="121" customWidth="1"/>
    <col min="806" max="806" width="31" style="121" customWidth="1"/>
    <col min="807" max="807" width="35" style="121" customWidth="1"/>
    <col min="808" max="808" width="31" style="121" customWidth="1"/>
    <col min="809" max="809" width="37.83203125" style="121" customWidth="1"/>
    <col min="810" max="810" width="11.5" style="121" customWidth="1"/>
    <col min="811" max="811" width="54" style="121" customWidth="1"/>
    <col min="812" max="812" width="43.5" style="121" customWidth="1"/>
    <col min="813" max="813" width="44.6640625" style="121" customWidth="1"/>
    <col min="814" max="1023" width="6.33203125" style="121"/>
    <col min="1024" max="1025" width="2.1640625" style="121" customWidth="1"/>
    <col min="1026" max="1026" width="0" style="121" hidden="1" customWidth="1"/>
    <col min="1027" max="1029" width="12.83203125" style="121" customWidth="1"/>
    <col min="1030" max="1030" width="12" style="121" customWidth="1"/>
    <col min="1031" max="1031" width="12.33203125" style="121" customWidth="1"/>
    <col min="1032" max="1032" width="13.5" style="121" customWidth="1"/>
    <col min="1033" max="1033" width="0" style="121" hidden="1" customWidth="1"/>
    <col min="1034" max="1036" width="13" style="121" customWidth="1"/>
    <col min="1037" max="1037" width="14.83203125" style="121" customWidth="1"/>
    <col min="1038" max="1038" width="13.33203125" style="121" customWidth="1"/>
    <col min="1039" max="1039" width="13.5" style="121" customWidth="1"/>
    <col min="1040" max="1040" width="2.1640625" style="121" customWidth="1"/>
    <col min="1041" max="1041" width="13.83203125" style="121" customWidth="1"/>
    <col min="1042" max="1042" width="10.6640625" style="121" customWidth="1"/>
    <col min="1043" max="1043" width="12" style="121" customWidth="1"/>
    <col min="1044" max="1044" width="11.5" style="121" customWidth="1"/>
    <col min="1045" max="1045" width="16" style="121" customWidth="1"/>
    <col min="1046" max="1047" width="10.6640625" style="121" customWidth="1"/>
    <col min="1048" max="1048" width="15.5" style="121" customWidth="1"/>
    <col min="1049" max="1049" width="11.5" style="121" customWidth="1"/>
    <col min="1050" max="1050" width="12" style="121" customWidth="1"/>
    <col min="1051" max="1051" width="11.5" style="121" customWidth="1"/>
    <col min="1052" max="1052" width="12" style="121" customWidth="1"/>
    <col min="1053" max="1053" width="11.5" style="121" customWidth="1"/>
    <col min="1054" max="1054" width="12.83203125" style="121" customWidth="1"/>
    <col min="1055" max="1055" width="10.6640625" style="121" customWidth="1"/>
    <col min="1056" max="1056" width="19" style="121" customWidth="1"/>
    <col min="1057" max="1057" width="13.33203125" style="121" customWidth="1"/>
    <col min="1058" max="1058" width="18" style="121" customWidth="1"/>
    <col min="1059" max="1059" width="42.5" style="121" customWidth="1"/>
    <col min="1060" max="1060" width="31" style="121" customWidth="1"/>
    <col min="1061" max="1061" width="35" style="121" customWidth="1"/>
    <col min="1062" max="1062" width="31" style="121" customWidth="1"/>
    <col min="1063" max="1063" width="35" style="121" customWidth="1"/>
    <col min="1064" max="1064" width="31" style="121" customWidth="1"/>
    <col min="1065" max="1065" width="37.83203125" style="121" customWidth="1"/>
    <col min="1066" max="1066" width="11.5" style="121" customWidth="1"/>
    <col min="1067" max="1067" width="54" style="121" customWidth="1"/>
    <col min="1068" max="1068" width="43.5" style="121" customWidth="1"/>
    <col min="1069" max="1069" width="44.6640625" style="121" customWidth="1"/>
    <col min="1070" max="1279" width="6.33203125" style="121"/>
    <col min="1280" max="1281" width="2.1640625" style="121" customWidth="1"/>
    <col min="1282" max="1282" width="0" style="121" hidden="1" customWidth="1"/>
    <col min="1283" max="1285" width="12.83203125" style="121" customWidth="1"/>
    <col min="1286" max="1286" width="12" style="121" customWidth="1"/>
    <col min="1287" max="1287" width="12.33203125" style="121" customWidth="1"/>
    <col min="1288" max="1288" width="13.5" style="121" customWidth="1"/>
    <col min="1289" max="1289" width="0" style="121" hidden="1" customWidth="1"/>
    <col min="1290" max="1292" width="13" style="121" customWidth="1"/>
    <col min="1293" max="1293" width="14.83203125" style="121" customWidth="1"/>
    <col min="1294" max="1294" width="13.33203125" style="121" customWidth="1"/>
    <col min="1295" max="1295" width="13.5" style="121" customWidth="1"/>
    <col min="1296" max="1296" width="2.1640625" style="121" customWidth="1"/>
    <col min="1297" max="1297" width="13.83203125" style="121" customWidth="1"/>
    <col min="1298" max="1298" width="10.6640625" style="121" customWidth="1"/>
    <col min="1299" max="1299" width="12" style="121" customWidth="1"/>
    <col min="1300" max="1300" width="11.5" style="121" customWidth="1"/>
    <col min="1301" max="1301" width="16" style="121" customWidth="1"/>
    <col min="1302" max="1303" width="10.6640625" style="121" customWidth="1"/>
    <col min="1304" max="1304" width="15.5" style="121" customWidth="1"/>
    <col min="1305" max="1305" width="11.5" style="121" customWidth="1"/>
    <col min="1306" max="1306" width="12" style="121" customWidth="1"/>
    <col min="1307" max="1307" width="11.5" style="121" customWidth="1"/>
    <col min="1308" max="1308" width="12" style="121" customWidth="1"/>
    <col min="1309" max="1309" width="11.5" style="121" customWidth="1"/>
    <col min="1310" max="1310" width="12.83203125" style="121" customWidth="1"/>
    <col min="1311" max="1311" width="10.6640625" style="121" customWidth="1"/>
    <col min="1312" max="1312" width="19" style="121" customWidth="1"/>
    <col min="1313" max="1313" width="13.33203125" style="121" customWidth="1"/>
    <col min="1314" max="1314" width="18" style="121" customWidth="1"/>
    <col min="1315" max="1315" width="42.5" style="121" customWidth="1"/>
    <col min="1316" max="1316" width="31" style="121" customWidth="1"/>
    <col min="1317" max="1317" width="35" style="121" customWidth="1"/>
    <col min="1318" max="1318" width="31" style="121" customWidth="1"/>
    <col min="1319" max="1319" width="35" style="121" customWidth="1"/>
    <col min="1320" max="1320" width="31" style="121" customWidth="1"/>
    <col min="1321" max="1321" width="37.83203125" style="121" customWidth="1"/>
    <col min="1322" max="1322" width="11.5" style="121" customWidth="1"/>
    <col min="1323" max="1323" width="54" style="121" customWidth="1"/>
    <col min="1324" max="1324" width="43.5" style="121" customWidth="1"/>
    <col min="1325" max="1325" width="44.6640625" style="121" customWidth="1"/>
    <col min="1326" max="1535" width="6.33203125" style="121"/>
    <col min="1536" max="1537" width="2.1640625" style="121" customWidth="1"/>
    <col min="1538" max="1538" width="0" style="121" hidden="1" customWidth="1"/>
    <col min="1539" max="1541" width="12.83203125" style="121" customWidth="1"/>
    <col min="1542" max="1542" width="12" style="121" customWidth="1"/>
    <col min="1543" max="1543" width="12.33203125" style="121" customWidth="1"/>
    <col min="1544" max="1544" width="13.5" style="121" customWidth="1"/>
    <col min="1545" max="1545" width="0" style="121" hidden="1" customWidth="1"/>
    <col min="1546" max="1548" width="13" style="121" customWidth="1"/>
    <col min="1549" max="1549" width="14.83203125" style="121" customWidth="1"/>
    <col min="1550" max="1550" width="13.33203125" style="121" customWidth="1"/>
    <col min="1551" max="1551" width="13.5" style="121" customWidth="1"/>
    <col min="1552" max="1552" width="2.1640625" style="121" customWidth="1"/>
    <col min="1553" max="1553" width="13.83203125" style="121" customWidth="1"/>
    <col min="1554" max="1554" width="10.6640625" style="121" customWidth="1"/>
    <col min="1555" max="1555" width="12" style="121" customWidth="1"/>
    <col min="1556" max="1556" width="11.5" style="121" customWidth="1"/>
    <col min="1557" max="1557" width="16" style="121" customWidth="1"/>
    <col min="1558" max="1559" width="10.6640625" style="121" customWidth="1"/>
    <col min="1560" max="1560" width="15.5" style="121" customWidth="1"/>
    <col min="1561" max="1561" width="11.5" style="121" customWidth="1"/>
    <col min="1562" max="1562" width="12" style="121" customWidth="1"/>
    <col min="1563" max="1563" width="11.5" style="121" customWidth="1"/>
    <col min="1564" max="1564" width="12" style="121" customWidth="1"/>
    <col min="1565" max="1565" width="11.5" style="121" customWidth="1"/>
    <col min="1566" max="1566" width="12.83203125" style="121" customWidth="1"/>
    <col min="1567" max="1567" width="10.6640625" style="121" customWidth="1"/>
    <col min="1568" max="1568" width="19" style="121" customWidth="1"/>
    <col min="1569" max="1569" width="13.33203125" style="121" customWidth="1"/>
    <col min="1570" max="1570" width="18" style="121" customWidth="1"/>
    <col min="1571" max="1571" width="42.5" style="121" customWidth="1"/>
    <col min="1572" max="1572" width="31" style="121" customWidth="1"/>
    <col min="1573" max="1573" width="35" style="121" customWidth="1"/>
    <col min="1574" max="1574" width="31" style="121" customWidth="1"/>
    <col min="1575" max="1575" width="35" style="121" customWidth="1"/>
    <col min="1576" max="1576" width="31" style="121" customWidth="1"/>
    <col min="1577" max="1577" width="37.83203125" style="121" customWidth="1"/>
    <col min="1578" max="1578" width="11.5" style="121" customWidth="1"/>
    <col min="1579" max="1579" width="54" style="121" customWidth="1"/>
    <col min="1580" max="1580" width="43.5" style="121" customWidth="1"/>
    <col min="1581" max="1581" width="44.6640625" style="121" customWidth="1"/>
    <col min="1582" max="1791" width="6.33203125" style="121"/>
    <col min="1792" max="1793" width="2.1640625" style="121" customWidth="1"/>
    <col min="1794" max="1794" width="0" style="121" hidden="1" customWidth="1"/>
    <col min="1795" max="1797" width="12.83203125" style="121" customWidth="1"/>
    <col min="1798" max="1798" width="12" style="121" customWidth="1"/>
    <col min="1799" max="1799" width="12.33203125" style="121" customWidth="1"/>
    <col min="1800" max="1800" width="13.5" style="121" customWidth="1"/>
    <col min="1801" max="1801" width="0" style="121" hidden="1" customWidth="1"/>
    <col min="1802" max="1804" width="13" style="121" customWidth="1"/>
    <col min="1805" max="1805" width="14.83203125" style="121" customWidth="1"/>
    <col min="1806" max="1806" width="13.33203125" style="121" customWidth="1"/>
    <col min="1807" max="1807" width="13.5" style="121" customWidth="1"/>
    <col min="1808" max="1808" width="2.1640625" style="121" customWidth="1"/>
    <col min="1809" max="1809" width="13.83203125" style="121" customWidth="1"/>
    <col min="1810" max="1810" width="10.6640625" style="121" customWidth="1"/>
    <col min="1811" max="1811" width="12" style="121" customWidth="1"/>
    <col min="1812" max="1812" width="11.5" style="121" customWidth="1"/>
    <col min="1813" max="1813" width="16" style="121" customWidth="1"/>
    <col min="1814" max="1815" width="10.6640625" style="121" customWidth="1"/>
    <col min="1816" max="1816" width="15.5" style="121" customWidth="1"/>
    <col min="1817" max="1817" width="11.5" style="121" customWidth="1"/>
    <col min="1818" max="1818" width="12" style="121" customWidth="1"/>
    <col min="1819" max="1819" width="11.5" style="121" customWidth="1"/>
    <col min="1820" max="1820" width="12" style="121" customWidth="1"/>
    <col min="1821" max="1821" width="11.5" style="121" customWidth="1"/>
    <col min="1822" max="1822" width="12.83203125" style="121" customWidth="1"/>
    <col min="1823" max="1823" width="10.6640625" style="121" customWidth="1"/>
    <col min="1824" max="1824" width="19" style="121" customWidth="1"/>
    <col min="1825" max="1825" width="13.33203125" style="121" customWidth="1"/>
    <col min="1826" max="1826" width="18" style="121" customWidth="1"/>
    <col min="1827" max="1827" width="42.5" style="121" customWidth="1"/>
    <col min="1828" max="1828" width="31" style="121" customWidth="1"/>
    <col min="1829" max="1829" width="35" style="121" customWidth="1"/>
    <col min="1830" max="1830" width="31" style="121" customWidth="1"/>
    <col min="1831" max="1831" width="35" style="121" customWidth="1"/>
    <col min="1832" max="1832" width="31" style="121" customWidth="1"/>
    <col min="1833" max="1833" width="37.83203125" style="121" customWidth="1"/>
    <col min="1834" max="1834" width="11.5" style="121" customWidth="1"/>
    <col min="1835" max="1835" width="54" style="121" customWidth="1"/>
    <col min="1836" max="1836" width="43.5" style="121" customWidth="1"/>
    <col min="1837" max="1837" width="44.6640625" style="121" customWidth="1"/>
    <col min="1838" max="2047" width="6.33203125" style="121"/>
    <col min="2048" max="2049" width="2.1640625" style="121" customWidth="1"/>
    <col min="2050" max="2050" width="0" style="121" hidden="1" customWidth="1"/>
    <col min="2051" max="2053" width="12.83203125" style="121" customWidth="1"/>
    <col min="2054" max="2054" width="12" style="121" customWidth="1"/>
    <col min="2055" max="2055" width="12.33203125" style="121" customWidth="1"/>
    <col min="2056" max="2056" width="13.5" style="121" customWidth="1"/>
    <col min="2057" max="2057" width="0" style="121" hidden="1" customWidth="1"/>
    <col min="2058" max="2060" width="13" style="121" customWidth="1"/>
    <col min="2061" max="2061" width="14.83203125" style="121" customWidth="1"/>
    <col min="2062" max="2062" width="13.33203125" style="121" customWidth="1"/>
    <col min="2063" max="2063" width="13.5" style="121" customWidth="1"/>
    <col min="2064" max="2064" width="2.1640625" style="121" customWidth="1"/>
    <col min="2065" max="2065" width="13.83203125" style="121" customWidth="1"/>
    <col min="2066" max="2066" width="10.6640625" style="121" customWidth="1"/>
    <col min="2067" max="2067" width="12" style="121" customWidth="1"/>
    <col min="2068" max="2068" width="11.5" style="121" customWidth="1"/>
    <col min="2069" max="2069" width="16" style="121" customWidth="1"/>
    <col min="2070" max="2071" width="10.6640625" style="121" customWidth="1"/>
    <col min="2072" max="2072" width="15.5" style="121" customWidth="1"/>
    <col min="2073" max="2073" width="11.5" style="121" customWidth="1"/>
    <col min="2074" max="2074" width="12" style="121" customWidth="1"/>
    <col min="2075" max="2075" width="11.5" style="121" customWidth="1"/>
    <col min="2076" max="2076" width="12" style="121" customWidth="1"/>
    <col min="2077" max="2077" width="11.5" style="121" customWidth="1"/>
    <col min="2078" max="2078" width="12.83203125" style="121" customWidth="1"/>
    <col min="2079" max="2079" width="10.6640625" style="121" customWidth="1"/>
    <col min="2080" max="2080" width="19" style="121" customWidth="1"/>
    <col min="2081" max="2081" width="13.33203125" style="121" customWidth="1"/>
    <col min="2082" max="2082" width="18" style="121" customWidth="1"/>
    <col min="2083" max="2083" width="42.5" style="121" customWidth="1"/>
    <col min="2084" max="2084" width="31" style="121" customWidth="1"/>
    <col min="2085" max="2085" width="35" style="121" customWidth="1"/>
    <col min="2086" max="2086" width="31" style="121" customWidth="1"/>
    <col min="2087" max="2087" width="35" style="121" customWidth="1"/>
    <col min="2088" max="2088" width="31" style="121" customWidth="1"/>
    <col min="2089" max="2089" width="37.83203125" style="121" customWidth="1"/>
    <col min="2090" max="2090" width="11.5" style="121" customWidth="1"/>
    <col min="2091" max="2091" width="54" style="121" customWidth="1"/>
    <col min="2092" max="2092" width="43.5" style="121" customWidth="1"/>
    <col min="2093" max="2093" width="44.6640625" style="121" customWidth="1"/>
    <col min="2094" max="2303" width="6.33203125" style="121"/>
    <col min="2304" max="2305" width="2.1640625" style="121" customWidth="1"/>
    <col min="2306" max="2306" width="0" style="121" hidden="1" customWidth="1"/>
    <col min="2307" max="2309" width="12.83203125" style="121" customWidth="1"/>
    <col min="2310" max="2310" width="12" style="121" customWidth="1"/>
    <col min="2311" max="2311" width="12.33203125" style="121" customWidth="1"/>
    <col min="2312" max="2312" width="13.5" style="121" customWidth="1"/>
    <col min="2313" max="2313" width="0" style="121" hidden="1" customWidth="1"/>
    <col min="2314" max="2316" width="13" style="121" customWidth="1"/>
    <col min="2317" max="2317" width="14.83203125" style="121" customWidth="1"/>
    <col min="2318" max="2318" width="13.33203125" style="121" customWidth="1"/>
    <col min="2319" max="2319" width="13.5" style="121" customWidth="1"/>
    <col min="2320" max="2320" width="2.1640625" style="121" customWidth="1"/>
    <col min="2321" max="2321" width="13.83203125" style="121" customWidth="1"/>
    <col min="2322" max="2322" width="10.6640625" style="121" customWidth="1"/>
    <col min="2323" max="2323" width="12" style="121" customWidth="1"/>
    <col min="2324" max="2324" width="11.5" style="121" customWidth="1"/>
    <col min="2325" max="2325" width="16" style="121" customWidth="1"/>
    <col min="2326" max="2327" width="10.6640625" style="121" customWidth="1"/>
    <col min="2328" max="2328" width="15.5" style="121" customWidth="1"/>
    <col min="2329" max="2329" width="11.5" style="121" customWidth="1"/>
    <col min="2330" max="2330" width="12" style="121" customWidth="1"/>
    <col min="2331" max="2331" width="11.5" style="121" customWidth="1"/>
    <col min="2332" max="2332" width="12" style="121" customWidth="1"/>
    <col min="2333" max="2333" width="11.5" style="121" customWidth="1"/>
    <col min="2334" max="2334" width="12.83203125" style="121" customWidth="1"/>
    <col min="2335" max="2335" width="10.6640625" style="121" customWidth="1"/>
    <col min="2336" max="2336" width="19" style="121" customWidth="1"/>
    <col min="2337" max="2337" width="13.33203125" style="121" customWidth="1"/>
    <col min="2338" max="2338" width="18" style="121" customWidth="1"/>
    <col min="2339" max="2339" width="42.5" style="121" customWidth="1"/>
    <col min="2340" max="2340" width="31" style="121" customWidth="1"/>
    <col min="2341" max="2341" width="35" style="121" customWidth="1"/>
    <col min="2342" max="2342" width="31" style="121" customWidth="1"/>
    <col min="2343" max="2343" width="35" style="121" customWidth="1"/>
    <col min="2344" max="2344" width="31" style="121" customWidth="1"/>
    <col min="2345" max="2345" width="37.83203125" style="121" customWidth="1"/>
    <col min="2346" max="2346" width="11.5" style="121" customWidth="1"/>
    <col min="2347" max="2347" width="54" style="121" customWidth="1"/>
    <col min="2348" max="2348" width="43.5" style="121" customWidth="1"/>
    <col min="2349" max="2349" width="44.6640625" style="121" customWidth="1"/>
    <col min="2350" max="2559" width="6.33203125" style="121"/>
    <col min="2560" max="2561" width="2.1640625" style="121" customWidth="1"/>
    <col min="2562" max="2562" width="0" style="121" hidden="1" customWidth="1"/>
    <col min="2563" max="2565" width="12.83203125" style="121" customWidth="1"/>
    <col min="2566" max="2566" width="12" style="121" customWidth="1"/>
    <col min="2567" max="2567" width="12.33203125" style="121" customWidth="1"/>
    <col min="2568" max="2568" width="13.5" style="121" customWidth="1"/>
    <col min="2569" max="2569" width="0" style="121" hidden="1" customWidth="1"/>
    <col min="2570" max="2572" width="13" style="121" customWidth="1"/>
    <col min="2573" max="2573" width="14.83203125" style="121" customWidth="1"/>
    <col min="2574" max="2574" width="13.33203125" style="121" customWidth="1"/>
    <col min="2575" max="2575" width="13.5" style="121" customWidth="1"/>
    <col min="2576" max="2576" width="2.1640625" style="121" customWidth="1"/>
    <col min="2577" max="2577" width="13.83203125" style="121" customWidth="1"/>
    <col min="2578" max="2578" width="10.6640625" style="121" customWidth="1"/>
    <col min="2579" max="2579" width="12" style="121" customWidth="1"/>
    <col min="2580" max="2580" width="11.5" style="121" customWidth="1"/>
    <col min="2581" max="2581" width="16" style="121" customWidth="1"/>
    <col min="2582" max="2583" width="10.6640625" style="121" customWidth="1"/>
    <col min="2584" max="2584" width="15.5" style="121" customWidth="1"/>
    <col min="2585" max="2585" width="11.5" style="121" customWidth="1"/>
    <col min="2586" max="2586" width="12" style="121" customWidth="1"/>
    <col min="2587" max="2587" width="11.5" style="121" customWidth="1"/>
    <col min="2588" max="2588" width="12" style="121" customWidth="1"/>
    <col min="2589" max="2589" width="11.5" style="121" customWidth="1"/>
    <col min="2590" max="2590" width="12.83203125" style="121" customWidth="1"/>
    <col min="2591" max="2591" width="10.6640625" style="121" customWidth="1"/>
    <col min="2592" max="2592" width="19" style="121" customWidth="1"/>
    <col min="2593" max="2593" width="13.33203125" style="121" customWidth="1"/>
    <col min="2594" max="2594" width="18" style="121" customWidth="1"/>
    <col min="2595" max="2595" width="42.5" style="121" customWidth="1"/>
    <col min="2596" max="2596" width="31" style="121" customWidth="1"/>
    <col min="2597" max="2597" width="35" style="121" customWidth="1"/>
    <col min="2598" max="2598" width="31" style="121" customWidth="1"/>
    <col min="2599" max="2599" width="35" style="121" customWidth="1"/>
    <col min="2600" max="2600" width="31" style="121" customWidth="1"/>
    <col min="2601" max="2601" width="37.83203125" style="121" customWidth="1"/>
    <col min="2602" max="2602" width="11.5" style="121" customWidth="1"/>
    <col min="2603" max="2603" width="54" style="121" customWidth="1"/>
    <col min="2604" max="2604" width="43.5" style="121" customWidth="1"/>
    <col min="2605" max="2605" width="44.6640625" style="121" customWidth="1"/>
    <col min="2606" max="2815" width="6.33203125" style="121"/>
    <col min="2816" max="2817" width="2.1640625" style="121" customWidth="1"/>
    <col min="2818" max="2818" width="0" style="121" hidden="1" customWidth="1"/>
    <col min="2819" max="2821" width="12.83203125" style="121" customWidth="1"/>
    <col min="2822" max="2822" width="12" style="121" customWidth="1"/>
    <col min="2823" max="2823" width="12.33203125" style="121" customWidth="1"/>
    <col min="2824" max="2824" width="13.5" style="121" customWidth="1"/>
    <col min="2825" max="2825" width="0" style="121" hidden="1" customWidth="1"/>
    <col min="2826" max="2828" width="13" style="121" customWidth="1"/>
    <col min="2829" max="2829" width="14.83203125" style="121" customWidth="1"/>
    <col min="2830" max="2830" width="13.33203125" style="121" customWidth="1"/>
    <col min="2831" max="2831" width="13.5" style="121" customWidth="1"/>
    <col min="2832" max="2832" width="2.1640625" style="121" customWidth="1"/>
    <col min="2833" max="2833" width="13.83203125" style="121" customWidth="1"/>
    <col min="2834" max="2834" width="10.6640625" style="121" customWidth="1"/>
    <col min="2835" max="2835" width="12" style="121" customWidth="1"/>
    <col min="2836" max="2836" width="11.5" style="121" customWidth="1"/>
    <col min="2837" max="2837" width="16" style="121" customWidth="1"/>
    <col min="2838" max="2839" width="10.6640625" style="121" customWidth="1"/>
    <col min="2840" max="2840" width="15.5" style="121" customWidth="1"/>
    <col min="2841" max="2841" width="11.5" style="121" customWidth="1"/>
    <col min="2842" max="2842" width="12" style="121" customWidth="1"/>
    <col min="2843" max="2843" width="11.5" style="121" customWidth="1"/>
    <col min="2844" max="2844" width="12" style="121" customWidth="1"/>
    <col min="2845" max="2845" width="11.5" style="121" customWidth="1"/>
    <col min="2846" max="2846" width="12.83203125" style="121" customWidth="1"/>
    <col min="2847" max="2847" width="10.6640625" style="121" customWidth="1"/>
    <col min="2848" max="2848" width="19" style="121" customWidth="1"/>
    <col min="2849" max="2849" width="13.33203125" style="121" customWidth="1"/>
    <col min="2850" max="2850" width="18" style="121" customWidth="1"/>
    <col min="2851" max="2851" width="42.5" style="121" customWidth="1"/>
    <col min="2852" max="2852" width="31" style="121" customWidth="1"/>
    <col min="2853" max="2853" width="35" style="121" customWidth="1"/>
    <col min="2854" max="2854" width="31" style="121" customWidth="1"/>
    <col min="2855" max="2855" width="35" style="121" customWidth="1"/>
    <col min="2856" max="2856" width="31" style="121" customWidth="1"/>
    <col min="2857" max="2857" width="37.83203125" style="121" customWidth="1"/>
    <col min="2858" max="2858" width="11.5" style="121" customWidth="1"/>
    <col min="2859" max="2859" width="54" style="121" customWidth="1"/>
    <col min="2860" max="2860" width="43.5" style="121" customWidth="1"/>
    <col min="2861" max="2861" width="44.6640625" style="121" customWidth="1"/>
    <col min="2862" max="3071" width="6.33203125" style="121"/>
    <col min="3072" max="3073" width="2.1640625" style="121" customWidth="1"/>
    <col min="3074" max="3074" width="0" style="121" hidden="1" customWidth="1"/>
    <col min="3075" max="3077" width="12.83203125" style="121" customWidth="1"/>
    <col min="3078" max="3078" width="12" style="121" customWidth="1"/>
    <col min="3079" max="3079" width="12.33203125" style="121" customWidth="1"/>
    <col min="3080" max="3080" width="13.5" style="121" customWidth="1"/>
    <col min="3081" max="3081" width="0" style="121" hidden="1" customWidth="1"/>
    <col min="3082" max="3084" width="13" style="121" customWidth="1"/>
    <col min="3085" max="3085" width="14.83203125" style="121" customWidth="1"/>
    <col min="3086" max="3086" width="13.33203125" style="121" customWidth="1"/>
    <col min="3087" max="3087" width="13.5" style="121" customWidth="1"/>
    <col min="3088" max="3088" width="2.1640625" style="121" customWidth="1"/>
    <col min="3089" max="3089" width="13.83203125" style="121" customWidth="1"/>
    <col min="3090" max="3090" width="10.6640625" style="121" customWidth="1"/>
    <col min="3091" max="3091" width="12" style="121" customWidth="1"/>
    <col min="3092" max="3092" width="11.5" style="121" customWidth="1"/>
    <col min="3093" max="3093" width="16" style="121" customWidth="1"/>
    <col min="3094" max="3095" width="10.6640625" style="121" customWidth="1"/>
    <col min="3096" max="3096" width="15.5" style="121" customWidth="1"/>
    <col min="3097" max="3097" width="11.5" style="121" customWidth="1"/>
    <col min="3098" max="3098" width="12" style="121" customWidth="1"/>
    <col min="3099" max="3099" width="11.5" style="121" customWidth="1"/>
    <col min="3100" max="3100" width="12" style="121" customWidth="1"/>
    <col min="3101" max="3101" width="11.5" style="121" customWidth="1"/>
    <col min="3102" max="3102" width="12.83203125" style="121" customWidth="1"/>
    <col min="3103" max="3103" width="10.6640625" style="121" customWidth="1"/>
    <col min="3104" max="3104" width="19" style="121" customWidth="1"/>
    <col min="3105" max="3105" width="13.33203125" style="121" customWidth="1"/>
    <col min="3106" max="3106" width="18" style="121" customWidth="1"/>
    <col min="3107" max="3107" width="42.5" style="121" customWidth="1"/>
    <col min="3108" max="3108" width="31" style="121" customWidth="1"/>
    <col min="3109" max="3109" width="35" style="121" customWidth="1"/>
    <col min="3110" max="3110" width="31" style="121" customWidth="1"/>
    <col min="3111" max="3111" width="35" style="121" customWidth="1"/>
    <col min="3112" max="3112" width="31" style="121" customWidth="1"/>
    <col min="3113" max="3113" width="37.83203125" style="121" customWidth="1"/>
    <col min="3114" max="3114" width="11.5" style="121" customWidth="1"/>
    <col min="3115" max="3115" width="54" style="121" customWidth="1"/>
    <col min="3116" max="3116" width="43.5" style="121" customWidth="1"/>
    <col min="3117" max="3117" width="44.6640625" style="121" customWidth="1"/>
    <col min="3118" max="3327" width="6.33203125" style="121"/>
    <col min="3328" max="3329" width="2.1640625" style="121" customWidth="1"/>
    <col min="3330" max="3330" width="0" style="121" hidden="1" customWidth="1"/>
    <col min="3331" max="3333" width="12.83203125" style="121" customWidth="1"/>
    <col min="3334" max="3334" width="12" style="121" customWidth="1"/>
    <col min="3335" max="3335" width="12.33203125" style="121" customWidth="1"/>
    <col min="3336" max="3336" width="13.5" style="121" customWidth="1"/>
    <col min="3337" max="3337" width="0" style="121" hidden="1" customWidth="1"/>
    <col min="3338" max="3340" width="13" style="121" customWidth="1"/>
    <col min="3341" max="3341" width="14.83203125" style="121" customWidth="1"/>
    <col min="3342" max="3342" width="13.33203125" style="121" customWidth="1"/>
    <col min="3343" max="3343" width="13.5" style="121" customWidth="1"/>
    <col min="3344" max="3344" width="2.1640625" style="121" customWidth="1"/>
    <col min="3345" max="3345" width="13.83203125" style="121" customWidth="1"/>
    <col min="3346" max="3346" width="10.6640625" style="121" customWidth="1"/>
    <col min="3347" max="3347" width="12" style="121" customWidth="1"/>
    <col min="3348" max="3348" width="11.5" style="121" customWidth="1"/>
    <col min="3349" max="3349" width="16" style="121" customWidth="1"/>
    <col min="3350" max="3351" width="10.6640625" style="121" customWidth="1"/>
    <col min="3352" max="3352" width="15.5" style="121" customWidth="1"/>
    <col min="3353" max="3353" width="11.5" style="121" customWidth="1"/>
    <col min="3354" max="3354" width="12" style="121" customWidth="1"/>
    <col min="3355" max="3355" width="11.5" style="121" customWidth="1"/>
    <col min="3356" max="3356" width="12" style="121" customWidth="1"/>
    <col min="3357" max="3357" width="11.5" style="121" customWidth="1"/>
    <col min="3358" max="3358" width="12.83203125" style="121" customWidth="1"/>
    <col min="3359" max="3359" width="10.6640625" style="121" customWidth="1"/>
    <col min="3360" max="3360" width="19" style="121" customWidth="1"/>
    <col min="3361" max="3361" width="13.33203125" style="121" customWidth="1"/>
    <col min="3362" max="3362" width="18" style="121" customWidth="1"/>
    <col min="3363" max="3363" width="42.5" style="121" customWidth="1"/>
    <col min="3364" max="3364" width="31" style="121" customWidth="1"/>
    <col min="3365" max="3365" width="35" style="121" customWidth="1"/>
    <col min="3366" max="3366" width="31" style="121" customWidth="1"/>
    <col min="3367" max="3367" width="35" style="121" customWidth="1"/>
    <col min="3368" max="3368" width="31" style="121" customWidth="1"/>
    <col min="3369" max="3369" width="37.83203125" style="121" customWidth="1"/>
    <col min="3370" max="3370" width="11.5" style="121" customWidth="1"/>
    <col min="3371" max="3371" width="54" style="121" customWidth="1"/>
    <col min="3372" max="3372" width="43.5" style="121" customWidth="1"/>
    <col min="3373" max="3373" width="44.6640625" style="121" customWidth="1"/>
    <col min="3374" max="3583" width="6.33203125" style="121"/>
    <col min="3584" max="3585" width="2.1640625" style="121" customWidth="1"/>
    <col min="3586" max="3586" width="0" style="121" hidden="1" customWidth="1"/>
    <col min="3587" max="3589" width="12.83203125" style="121" customWidth="1"/>
    <col min="3590" max="3590" width="12" style="121" customWidth="1"/>
    <col min="3591" max="3591" width="12.33203125" style="121" customWidth="1"/>
    <col min="3592" max="3592" width="13.5" style="121" customWidth="1"/>
    <col min="3593" max="3593" width="0" style="121" hidden="1" customWidth="1"/>
    <col min="3594" max="3596" width="13" style="121" customWidth="1"/>
    <col min="3597" max="3597" width="14.83203125" style="121" customWidth="1"/>
    <col min="3598" max="3598" width="13.33203125" style="121" customWidth="1"/>
    <col min="3599" max="3599" width="13.5" style="121" customWidth="1"/>
    <col min="3600" max="3600" width="2.1640625" style="121" customWidth="1"/>
    <col min="3601" max="3601" width="13.83203125" style="121" customWidth="1"/>
    <col min="3602" max="3602" width="10.6640625" style="121" customWidth="1"/>
    <col min="3603" max="3603" width="12" style="121" customWidth="1"/>
    <col min="3604" max="3604" width="11.5" style="121" customWidth="1"/>
    <col min="3605" max="3605" width="16" style="121" customWidth="1"/>
    <col min="3606" max="3607" width="10.6640625" style="121" customWidth="1"/>
    <col min="3608" max="3608" width="15.5" style="121" customWidth="1"/>
    <col min="3609" max="3609" width="11.5" style="121" customWidth="1"/>
    <col min="3610" max="3610" width="12" style="121" customWidth="1"/>
    <col min="3611" max="3611" width="11.5" style="121" customWidth="1"/>
    <col min="3612" max="3612" width="12" style="121" customWidth="1"/>
    <col min="3613" max="3613" width="11.5" style="121" customWidth="1"/>
    <col min="3614" max="3614" width="12.83203125" style="121" customWidth="1"/>
    <col min="3615" max="3615" width="10.6640625" style="121" customWidth="1"/>
    <col min="3616" max="3616" width="19" style="121" customWidth="1"/>
    <col min="3617" max="3617" width="13.33203125" style="121" customWidth="1"/>
    <col min="3618" max="3618" width="18" style="121" customWidth="1"/>
    <col min="3619" max="3619" width="42.5" style="121" customWidth="1"/>
    <col min="3620" max="3620" width="31" style="121" customWidth="1"/>
    <col min="3621" max="3621" width="35" style="121" customWidth="1"/>
    <col min="3622" max="3622" width="31" style="121" customWidth="1"/>
    <col min="3623" max="3623" width="35" style="121" customWidth="1"/>
    <col min="3624" max="3624" width="31" style="121" customWidth="1"/>
    <col min="3625" max="3625" width="37.83203125" style="121" customWidth="1"/>
    <col min="3626" max="3626" width="11.5" style="121" customWidth="1"/>
    <col min="3627" max="3627" width="54" style="121" customWidth="1"/>
    <col min="3628" max="3628" width="43.5" style="121" customWidth="1"/>
    <col min="3629" max="3629" width="44.6640625" style="121" customWidth="1"/>
    <col min="3630" max="3839" width="6.33203125" style="121"/>
    <col min="3840" max="3841" width="2.1640625" style="121" customWidth="1"/>
    <col min="3842" max="3842" width="0" style="121" hidden="1" customWidth="1"/>
    <col min="3843" max="3845" width="12.83203125" style="121" customWidth="1"/>
    <col min="3846" max="3846" width="12" style="121" customWidth="1"/>
    <col min="3847" max="3847" width="12.33203125" style="121" customWidth="1"/>
    <col min="3848" max="3848" width="13.5" style="121" customWidth="1"/>
    <col min="3849" max="3849" width="0" style="121" hidden="1" customWidth="1"/>
    <col min="3850" max="3852" width="13" style="121" customWidth="1"/>
    <col min="3853" max="3853" width="14.83203125" style="121" customWidth="1"/>
    <col min="3854" max="3854" width="13.33203125" style="121" customWidth="1"/>
    <col min="3855" max="3855" width="13.5" style="121" customWidth="1"/>
    <col min="3856" max="3856" width="2.1640625" style="121" customWidth="1"/>
    <col min="3857" max="3857" width="13.83203125" style="121" customWidth="1"/>
    <col min="3858" max="3858" width="10.6640625" style="121" customWidth="1"/>
    <col min="3859" max="3859" width="12" style="121" customWidth="1"/>
    <col min="3860" max="3860" width="11.5" style="121" customWidth="1"/>
    <col min="3861" max="3861" width="16" style="121" customWidth="1"/>
    <col min="3862" max="3863" width="10.6640625" style="121" customWidth="1"/>
    <col min="3864" max="3864" width="15.5" style="121" customWidth="1"/>
    <col min="3865" max="3865" width="11.5" style="121" customWidth="1"/>
    <col min="3866" max="3866" width="12" style="121" customWidth="1"/>
    <col min="3867" max="3867" width="11.5" style="121" customWidth="1"/>
    <col min="3868" max="3868" width="12" style="121" customWidth="1"/>
    <col min="3869" max="3869" width="11.5" style="121" customWidth="1"/>
    <col min="3870" max="3870" width="12.83203125" style="121" customWidth="1"/>
    <col min="3871" max="3871" width="10.6640625" style="121" customWidth="1"/>
    <col min="3872" max="3872" width="19" style="121" customWidth="1"/>
    <col min="3873" max="3873" width="13.33203125" style="121" customWidth="1"/>
    <col min="3874" max="3874" width="18" style="121" customWidth="1"/>
    <col min="3875" max="3875" width="42.5" style="121" customWidth="1"/>
    <col min="3876" max="3876" width="31" style="121" customWidth="1"/>
    <col min="3877" max="3877" width="35" style="121" customWidth="1"/>
    <col min="3878" max="3878" width="31" style="121" customWidth="1"/>
    <col min="3879" max="3879" width="35" style="121" customWidth="1"/>
    <col min="3880" max="3880" width="31" style="121" customWidth="1"/>
    <col min="3881" max="3881" width="37.83203125" style="121" customWidth="1"/>
    <col min="3882" max="3882" width="11.5" style="121" customWidth="1"/>
    <col min="3883" max="3883" width="54" style="121" customWidth="1"/>
    <col min="3884" max="3884" width="43.5" style="121" customWidth="1"/>
    <col min="3885" max="3885" width="44.6640625" style="121" customWidth="1"/>
    <col min="3886" max="4095" width="6.33203125" style="121"/>
    <col min="4096" max="4097" width="2.1640625" style="121" customWidth="1"/>
    <col min="4098" max="4098" width="0" style="121" hidden="1" customWidth="1"/>
    <col min="4099" max="4101" width="12.83203125" style="121" customWidth="1"/>
    <col min="4102" max="4102" width="12" style="121" customWidth="1"/>
    <col min="4103" max="4103" width="12.33203125" style="121" customWidth="1"/>
    <col min="4104" max="4104" width="13.5" style="121" customWidth="1"/>
    <col min="4105" max="4105" width="0" style="121" hidden="1" customWidth="1"/>
    <col min="4106" max="4108" width="13" style="121" customWidth="1"/>
    <col min="4109" max="4109" width="14.83203125" style="121" customWidth="1"/>
    <col min="4110" max="4110" width="13.33203125" style="121" customWidth="1"/>
    <col min="4111" max="4111" width="13.5" style="121" customWidth="1"/>
    <col min="4112" max="4112" width="2.1640625" style="121" customWidth="1"/>
    <col min="4113" max="4113" width="13.83203125" style="121" customWidth="1"/>
    <col min="4114" max="4114" width="10.6640625" style="121" customWidth="1"/>
    <col min="4115" max="4115" width="12" style="121" customWidth="1"/>
    <col min="4116" max="4116" width="11.5" style="121" customWidth="1"/>
    <col min="4117" max="4117" width="16" style="121" customWidth="1"/>
    <col min="4118" max="4119" width="10.6640625" style="121" customWidth="1"/>
    <col min="4120" max="4120" width="15.5" style="121" customWidth="1"/>
    <col min="4121" max="4121" width="11.5" style="121" customWidth="1"/>
    <col min="4122" max="4122" width="12" style="121" customWidth="1"/>
    <col min="4123" max="4123" width="11.5" style="121" customWidth="1"/>
    <col min="4124" max="4124" width="12" style="121" customWidth="1"/>
    <col min="4125" max="4125" width="11.5" style="121" customWidth="1"/>
    <col min="4126" max="4126" width="12.83203125" style="121" customWidth="1"/>
    <col min="4127" max="4127" width="10.6640625" style="121" customWidth="1"/>
    <col min="4128" max="4128" width="19" style="121" customWidth="1"/>
    <col min="4129" max="4129" width="13.33203125" style="121" customWidth="1"/>
    <col min="4130" max="4130" width="18" style="121" customWidth="1"/>
    <col min="4131" max="4131" width="42.5" style="121" customWidth="1"/>
    <col min="4132" max="4132" width="31" style="121" customWidth="1"/>
    <col min="4133" max="4133" width="35" style="121" customWidth="1"/>
    <col min="4134" max="4134" width="31" style="121" customWidth="1"/>
    <col min="4135" max="4135" width="35" style="121" customWidth="1"/>
    <col min="4136" max="4136" width="31" style="121" customWidth="1"/>
    <col min="4137" max="4137" width="37.83203125" style="121" customWidth="1"/>
    <col min="4138" max="4138" width="11.5" style="121" customWidth="1"/>
    <col min="4139" max="4139" width="54" style="121" customWidth="1"/>
    <col min="4140" max="4140" width="43.5" style="121" customWidth="1"/>
    <col min="4141" max="4141" width="44.6640625" style="121" customWidth="1"/>
    <col min="4142" max="4351" width="6.33203125" style="121"/>
    <col min="4352" max="4353" width="2.1640625" style="121" customWidth="1"/>
    <col min="4354" max="4354" width="0" style="121" hidden="1" customWidth="1"/>
    <col min="4355" max="4357" width="12.83203125" style="121" customWidth="1"/>
    <col min="4358" max="4358" width="12" style="121" customWidth="1"/>
    <col min="4359" max="4359" width="12.33203125" style="121" customWidth="1"/>
    <col min="4360" max="4360" width="13.5" style="121" customWidth="1"/>
    <col min="4361" max="4361" width="0" style="121" hidden="1" customWidth="1"/>
    <col min="4362" max="4364" width="13" style="121" customWidth="1"/>
    <col min="4365" max="4365" width="14.83203125" style="121" customWidth="1"/>
    <col min="4366" max="4366" width="13.33203125" style="121" customWidth="1"/>
    <col min="4367" max="4367" width="13.5" style="121" customWidth="1"/>
    <col min="4368" max="4368" width="2.1640625" style="121" customWidth="1"/>
    <col min="4369" max="4369" width="13.83203125" style="121" customWidth="1"/>
    <col min="4370" max="4370" width="10.6640625" style="121" customWidth="1"/>
    <col min="4371" max="4371" width="12" style="121" customWidth="1"/>
    <col min="4372" max="4372" width="11.5" style="121" customWidth="1"/>
    <col min="4373" max="4373" width="16" style="121" customWidth="1"/>
    <col min="4374" max="4375" width="10.6640625" style="121" customWidth="1"/>
    <col min="4376" max="4376" width="15.5" style="121" customWidth="1"/>
    <col min="4377" max="4377" width="11.5" style="121" customWidth="1"/>
    <col min="4378" max="4378" width="12" style="121" customWidth="1"/>
    <col min="4379" max="4379" width="11.5" style="121" customWidth="1"/>
    <col min="4380" max="4380" width="12" style="121" customWidth="1"/>
    <col min="4381" max="4381" width="11.5" style="121" customWidth="1"/>
    <col min="4382" max="4382" width="12.83203125" style="121" customWidth="1"/>
    <col min="4383" max="4383" width="10.6640625" style="121" customWidth="1"/>
    <col min="4384" max="4384" width="19" style="121" customWidth="1"/>
    <col min="4385" max="4385" width="13.33203125" style="121" customWidth="1"/>
    <col min="4386" max="4386" width="18" style="121" customWidth="1"/>
    <col min="4387" max="4387" width="42.5" style="121" customWidth="1"/>
    <col min="4388" max="4388" width="31" style="121" customWidth="1"/>
    <col min="4389" max="4389" width="35" style="121" customWidth="1"/>
    <col min="4390" max="4390" width="31" style="121" customWidth="1"/>
    <col min="4391" max="4391" width="35" style="121" customWidth="1"/>
    <col min="4392" max="4392" width="31" style="121" customWidth="1"/>
    <col min="4393" max="4393" width="37.83203125" style="121" customWidth="1"/>
    <col min="4394" max="4394" width="11.5" style="121" customWidth="1"/>
    <col min="4395" max="4395" width="54" style="121" customWidth="1"/>
    <col min="4396" max="4396" width="43.5" style="121" customWidth="1"/>
    <col min="4397" max="4397" width="44.6640625" style="121" customWidth="1"/>
    <col min="4398" max="4607" width="6.33203125" style="121"/>
    <col min="4608" max="4609" width="2.1640625" style="121" customWidth="1"/>
    <col min="4610" max="4610" width="0" style="121" hidden="1" customWidth="1"/>
    <col min="4611" max="4613" width="12.83203125" style="121" customWidth="1"/>
    <col min="4614" max="4614" width="12" style="121" customWidth="1"/>
    <col min="4615" max="4615" width="12.33203125" style="121" customWidth="1"/>
    <col min="4616" max="4616" width="13.5" style="121" customWidth="1"/>
    <col min="4617" max="4617" width="0" style="121" hidden="1" customWidth="1"/>
    <col min="4618" max="4620" width="13" style="121" customWidth="1"/>
    <col min="4621" max="4621" width="14.83203125" style="121" customWidth="1"/>
    <col min="4622" max="4622" width="13.33203125" style="121" customWidth="1"/>
    <col min="4623" max="4623" width="13.5" style="121" customWidth="1"/>
    <col min="4624" max="4624" width="2.1640625" style="121" customWidth="1"/>
    <col min="4625" max="4625" width="13.83203125" style="121" customWidth="1"/>
    <col min="4626" max="4626" width="10.6640625" style="121" customWidth="1"/>
    <col min="4627" max="4627" width="12" style="121" customWidth="1"/>
    <col min="4628" max="4628" width="11.5" style="121" customWidth="1"/>
    <col min="4629" max="4629" width="16" style="121" customWidth="1"/>
    <col min="4630" max="4631" width="10.6640625" style="121" customWidth="1"/>
    <col min="4632" max="4632" width="15.5" style="121" customWidth="1"/>
    <col min="4633" max="4633" width="11.5" style="121" customWidth="1"/>
    <col min="4634" max="4634" width="12" style="121" customWidth="1"/>
    <col min="4635" max="4635" width="11.5" style="121" customWidth="1"/>
    <col min="4636" max="4636" width="12" style="121" customWidth="1"/>
    <col min="4637" max="4637" width="11.5" style="121" customWidth="1"/>
    <col min="4638" max="4638" width="12.83203125" style="121" customWidth="1"/>
    <col min="4639" max="4639" width="10.6640625" style="121" customWidth="1"/>
    <col min="4640" max="4640" width="19" style="121" customWidth="1"/>
    <col min="4641" max="4641" width="13.33203125" style="121" customWidth="1"/>
    <col min="4642" max="4642" width="18" style="121" customWidth="1"/>
    <col min="4643" max="4643" width="42.5" style="121" customWidth="1"/>
    <col min="4644" max="4644" width="31" style="121" customWidth="1"/>
    <col min="4645" max="4645" width="35" style="121" customWidth="1"/>
    <col min="4646" max="4646" width="31" style="121" customWidth="1"/>
    <col min="4647" max="4647" width="35" style="121" customWidth="1"/>
    <col min="4648" max="4648" width="31" style="121" customWidth="1"/>
    <col min="4649" max="4649" width="37.83203125" style="121" customWidth="1"/>
    <col min="4650" max="4650" width="11.5" style="121" customWidth="1"/>
    <col min="4651" max="4651" width="54" style="121" customWidth="1"/>
    <col min="4652" max="4652" width="43.5" style="121" customWidth="1"/>
    <col min="4653" max="4653" width="44.6640625" style="121" customWidth="1"/>
    <col min="4654" max="4863" width="6.33203125" style="121"/>
    <col min="4864" max="4865" width="2.1640625" style="121" customWidth="1"/>
    <col min="4866" max="4866" width="0" style="121" hidden="1" customWidth="1"/>
    <col min="4867" max="4869" width="12.83203125" style="121" customWidth="1"/>
    <col min="4870" max="4870" width="12" style="121" customWidth="1"/>
    <col min="4871" max="4871" width="12.33203125" style="121" customWidth="1"/>
    <col min="4872" max="4872" width="13.5" style="121" customWidth="1"/>
    <col min="4873" max="4873" width="0" style="121" hidden="1" customWidth="1"/>
    <col min="4874" max="4876" width="13" style="121" customWidth="1"/>
    <col min="4877" max="4877" width="14.83203125" style="121" customWidth="1"/>
    <col min="4878" max="4878" width="13.33203125" style="121" customWidth="1"/>
    <col min="4879" max="4879" width="13.5" style="121" customWidth="1"/>
    <col min="4880" max="4880" width="2.1640625" style="121" customWidth="1"/>
    <col min="4881" max="4881" width="13.83203125" style="121" customWidth="1"/>
    <col min="4882" max="4882" width="10.6640625" style="121" customWidth="1"/>
    <col min="4883" max="4883" width="12" style="121" customWidth="1"/>
    <col min="4884" max="4884" width="11.5" style="121" customWidth="1"/>
    <col min="4885" max="4885" width="16" style="121" customWidth="1"/>
    <col min="4886" max="4887" width="10.6640625" style="121" customWidth="1"/>
    <col min="4888" max="4888" width="15.5" style="121" customWidth="1"/>
    <col min="4889" max="4889" width="11.5" style="121" customWidth="1"/>
    <col min="4890" max="4890" width="12" style="121" customWidth="1"/>
    <col min="4891" max="4891" width="11.5" style="121" customWidth="1"/>
    <col min="4892" max="4892" width="12" style="121" customWidth="1"/>
    <col min="4893" max="4893" width="11.5" style="121" customWidth="1"/>
    <col min="4894" max="4894" width="12.83203125" style="121" customWidth="1"/>
    <col min="4895" max="4895" width="10.6640625" style="121" customWidth="1"/>
    <col min="4896" max="4896" width="19" style="121" customWidth="1"/>
    <col min="4897" max="4897" width="13.33203125" style="121" customWidth="1"/>
    <col min="4898" max="4898" width="18" style="121" customWidth="1"/>
    <col min="4899" max="4899" width="42.5" style="121" customWidth="1"/>
    <col min="4900" max="4900" width="31" style="121" customWidth="1"/>
    <col min="4901" max="4901" width="35" style="121" customWidth="1"/>
    <col min="4902" max="4902" width="31" style="121" customWidth="1"/>
    <col min="4903" max="4903" width="35" style="121" customWidth="1"/>
    <col min="4904" max="4904" width="31" style="121" customWidth="1"/>
    <col min="4905" max="4905" width="37.83203125" style="121" customWidth="1"/>
    <col min="4906" max="4906" width="11.5" style="121" customWidth="1"/>
    <col min="4907" max="4907" width="54" style="121" customWidth="1"/>
    <col min="4908" max="4908" width="43.5" style="121" customWidth="1"/>
    <col min="4909" max="4909" width="44.6640625" style="121" customWidth="1"/>
    <col min="4910" max="5119" width="6.33203125" style="121"/>
    <col min="5120" max="5121" width="2.1640625" style="121" customWidth="1"/>
    <col min="5122" max="5122" width="0" style="121" hidden="1" customWidth="1"/>
    <col min="5123" max="5125" width="12.83203125" style="121" customWidth="1"/>
    <col min="5126" max="5126" width="12" style="121" customWidth="1"/>
    <col min="5127" max="5127" width="12.33203125" style="121" customWidth="1"/>
    <col min="5128" max="5128" width="13.5" style="121" customWidth="1"/>
    <col min="5129" max="5129" width="0" style="121" hidden="1" customWidth="1"/>
    <col min="5130" max="5132" width="13" style="121" customWidth="1"/>
    <col min="5133" max="5133" width="14.83203125" style="121" customWidth="1"/>
    <col min="5134" max="5134" width="13.33203125" style="121" customWidth="1"/>
    <col min="5135" max="5135" width="13.5" style="121" customWidth="1"/>
    <col min="5136" max="5136" width="2.1640625" style="121" customWidth="1"/>
    <col min="5137" max="5137" width="13.83203125" style="121" customWidth="1"/>
    <col min="5138" max="5138" width="10.6640625" style="121" customWidth="1"/>
    <col min="5139" max="5139" width="12" style="121" customWidth="1"/>
    <col min="5140" max="5140" width="11.5" style="121" customWidth="1"/>
    <col min="5141" max="5141" width="16" style="121" customWidth="1"/>
    <col min="5142" max="5143" width="10.6640625" style="121" customWidth="1"/>
    <col min="5144" max="5144" width="15.5" style="121" customWidth="1"/>
    <col min="5145" max="5145" width="11.5" style="121" customWidth="1"/>
    <col min="5146" max="5146" width="12" style="121" customWidth="1"/>
    <col min="5147" max="5147" width="11.5" style="121" customWidth="1"/>
    <col min="5148" max="5148" width="12" style="121" customWidth="1"/>
    <col min="5149" max="5149" width="11.5" style="121" customWidth="1"/>
    <col min="5150" max="5150" width="12.83203125" style="121" customWidth="1"/>
    <col min="5151" max="5151" width="10.6640625" style="121" customWidth="1"/>
    <col min="5152" max="5152" width="19" style="121" customWidth="1"/>
    <col min="5153" max="5153" width="13.33203125" style="121" customWidth="1"/>
    <col min="5154" max="5154" width="18" style="121" customWidth="1"/>
    <col min="5155" max="5155" width="42.5" style="121" customWidth="1"/>
    <col min="5156" max="5156" width="31" style="121" customWidth="1"/>
    <col min="5157" max="5157" width="35" style="121" customWidth="1"/>
    <col min="5158" max="5158" width="31" style="121" customWidth="1"/>
    <col min="5159" max="5159" width="35" style="121" customWidth="1"/>
    <col min="5160" max="5160" width="31" style="121" customWidth="1"/>
    <col min="5161" max="5161" width="37.83203125" style="121" customWidth="1"/>
    <col min="5162" max="5162" width="11.5" style="121" customWidth="1"/>
    <col min="5163" max="5163" width="54" style="121" customWidth="1"/>
    <col min="5164" max="5164" width="43.5" style="121" customWidth="1"/>
    <col min="5165" max="5165" width="44.6640625" style="121" customWidth="1"/>
    <col min="5166" max="5375" width="6.33203125" style="121"/>
    <col min="5376" max="5377" width="2.1640625" style="121" customWidth="1"/>
    <col min="5378" max="5378" width="0" style="121" hidden="1" customWidth="1"/>
    <col min="5379" max="5381" width="12.83203125" style="121" customWidth="1"/>
    <col min="5382" max="5382" width="12" style="121" customWidth="1"/>
    <col min="5383" max="5383" width="12.33203125" style="121" customWidth="1"/>
    <col min="5384" max="5384" width="13.5" style="121" customWidth="1"/>
    <col min="5385" max="5385" width="0" style="121" hidden="1" customWidth="1"/>
    <col min="5386" max="5388" width="13" style="121" customWidth="1"/>
    <col min="5389" max="5389" width="14.83203125" style="121" customWidth="1"/>
    <col min="5390" max="5390" width="13.33203125" style="121" customWidth="1"/>
    <col min="5391" max="5391" width="13.5" style="121" customWidth="1"/>
    <col min="5392" max="5392" width="2.1640625" style="121" customWidth="1"/>
    <col min="5393" max="5393" width="13.83203125" style="121" customWidth="1"/>
    <col min="5394" max="5394" width="10.6640625" style="121" customWidth="1"/>
    <col min="5395" max="5395" width="12" style="121" customWidth="1"/>
    <col min="5396" max="5396" width="11.5" style="121" customWidth="1"/>
    <col min="5397" max="5397" width="16" style="121" customWidth="1"/>
    <col min="5398" max="5399" width="10.6640625" style="121" customWidth="1"/>
    <col min="5400" max="5400" width="15.5" style="121" customWidth="1"/>
    <col min="5401" max="5401" width="11.5" style="121" customWidth="1"/>
    <col min="5402" max="5402" width="12" style="121" customWidth="1"/>
    <col min="5403" max="5403" width="11.5" style="121" customWidth="1"/>
    <col min="5404" max="5404" width="12" style="121" customWidth="1"/>
    <col min="5405" max="5405" width="11.5" style="121" customWidth="1"/>
    <col min="5406" max="5406" width="12.83203125" style="121" customWidth="1"/>
    <col min="5407" max="5407" width="10.6640625" style="121" customWidth="1"/>
    <col min="5408" max="5408" width="19" style="121" customWidth="1"/>
    <col min="5409" max="5409" width="13.33203125" style="121" customWidth="1"/>
    <col min="5410" max="5410" width="18" style="121" customWidth="1"/>
    <col min="5411" max="5411" width="42.5" style="121" customWidth="1"/>
    <col min="5412" max="5412" width="31" style="121" customWidth="1"/>
    <col min="5413" max="5413" width="35" style="121" customWidth="1"/>
    <col min="5414" max="5414" width="31" style="121" customWidth="1"/>
    <col min="5415" max="5415" width="35" style="121" customWidth="1"/>
    <col min="5416" max="5416" width="31" style="121" customWidth="1"/>
    <col min="5417" max="5417" width="37.83203125" style="121" customWidth="1"/>
    <col min="5418" max="5418" width="11.5" style="121" customWidth="1"/>
    <col min="5419" max="5419" width="54" style="121" customWidth="1"/>
    <col min="5420" max="5420" width="43.5" style="121" customWidth="1"/>
    <col min="5421" max="5421" width="44.6640625" style="121" customWidth="1"/>
    <col min="5422" max="5631" width="6.33203125" style="121"/>
    <col min="5632" max="5633" width="2.1640625" style="121" customWidth="1"/>
    <col min="5634" max="5634" width="0" style="121" hidden="1" customWidth="1"/>
    <col min="5635" max="5637" width="12.83203125" style="121" customWidth="1"/>
    <col min="5638" max="5638" width="12" style="121" customWidth="1"/>
    <col min="5639" max="5639" width="12.33203125" style="121" customWidth="1"/>
    <col min="5640" max="5640" width="13.5" style="121" customWidth="1"/>
    <col min="5641" max="5641" width="0" style="121" hidden="1" customWidth="1"/>
    <col min="5642" max="5644" width="13" style="121" customWidth="1"/>
    <col min="5645" max="5645" width="14.83203125" style="121" customWidth="1"/>
    <col min="5646" max="5646" width="13.33203125" style="121" customWidth="1"/>
    <col min="5647" max="5647" width="13.5" style="121" customWidth="1"/>
    <col min="5648" max="5648" width="2.1640625" style="121" customWidth="1"/>
    <col min="5649" max="5649" width="13.83203125" style="121" customWidth="1"/>
    <col min="5650" max="5650" width="10.6640625" style="121" customWidth="1"/>
    <col min="5651" max="5651" width="12" style="121" customWidth="1"/>
    <col min="5652" max="5652" width="11.5" style="121" customWidth="1"/>
    <col min="5653" max="5653" width="16" style="121" customWidth="1"/>
    <col min="5654" max="5655" width="10.6640625" style="121" customWidth="1"/>
    <col min="5656" max="5656" width="15.5" style="121" customWidth="1"/>
    <col min="5657" max="5657" width="11.5" style="121" customWidth="1"/>
    <col min="5658" max="5658" width="12" style="121" customWidth="1"/>
    <col min="5659" max="5659" width="11.5" style="121" customWidth="1"/>
    <col min="5660" max="5660" width="12" style="121" customWidth="1"/>
    <col min="5661" max="5661" width="11.5" style="121" customWidth="1"/>
    <col min="5662" max="5662" width="12.83203125" style="121" customWidth="1"/>
    <col min="5663" max="5663" width="10.6640625" style="121" customWidth="1"/>
    <col min="5664" max="5664" width="19" style="121" customWidth="1"/>
    <col min="5665" max="5665" width="13.33203125" style="121" customWidth="1"/>
    <col min="5666" max="5666" width="18" style="121" customWidth="1"/>
    <col min="5667" max="5667" width="42.5" style="121" customWidth="1"/>
    <col min="5668" max="5668" width="31" style="121" customWidth="1"/>
    <col min="5669" max="5669" width="35" style="121" customWidth="1"/>
    <col min="5670" max="5670" width="31" style="121" customWidth="1"/>
    <col min="5671" max="5671" width="35" style="121" customWidth="1"/>
    <col min="5672" max="5672" width="31" style="121" customWidth="1"/>
    <col min="5673" max="5673" width="37.83203125" style="121" customWidth="1"/>
    <col min="5674" max="5674" width="11.5" style="121" customWidth="1"/>
    <col min="5675" max="5675" width="54" style="121" customWidth="1"/>
    <col min="5676" max="5676" width="43.5" style="121" customWidth="1"/>
    <col min="5677" max="5677" width="44.6640625" style="121" customWidth="1"/>
    <col min="5678" max="5887" width="6.33203125" style="121"/>
    <col min="5888" max="5889" width="2.1640625" style="121" customWidth="1"/>
    <col min="5890" max="5890" width="0" style="121" hidden="1" customWidth="1"/>
    <col min="5891" max="5893" width="12.83203125" style="121" customWidth="1"/>
    <col min="5894" max="5894" width="12" style="121" customWidth="1"/>
    <col min="5895" max="5895" width="12.33203125" style="121" customWidth="1"/>
    <col min="5896" max="5896" width="13.5" style="121" customWidth="1"/>
    <col min="5897" max="5897" width="0" style="121" hidden="1" customWidth="1"/>
    <col min="5898" max="5900" width="13" style="121" customWidth="1"/>
    <col min="5901" max="5901" width="14.83203125" style="121" customWidth="1"/>
    <col min="5902" max="5902" width="13.33203125" style="121" customWidth="1"/>
    <col min="5903" max="5903" width="13.5" style="121" customWidth="1"/>
    <col min="5904" max="5904" width="2.1640625" style="121" customWidth="1"/>
    <col min="5905" max="5905" width="13.83203125" style="121" customWidth="1"/>
    <col min="5906" max="5906" width="10.6640625" style="121" customWidth="1"/>
    <col min="5907" max="5907" width="12" style="121" customWidth="1"/>
    <col min="5908" max="5908" width="11.5" style="121" customWidth="1"/>
    <col min="5909" max="5909" width="16" style="121" customWidth="1"/>
    <col min="5910" max="5911" width="10.6640625" style="121" customWidth="1"/>
    <col min="5912" max="5912" width="15.5" style="121" customWidth="1"/>
    <col min="5913" max="5913" width="11.5" style="121" customWidth="1"/>
    <col min="5914" max="5914" width="12" style="121" customWidth="1"/>
    <col min="5915" max="5915" width="11.5" style="121" customWidth="1"/>
    <col min="5916" max="5916" width="12" style="121" customWidth="1"/>
    <col min="5917" max="5917" width="11.5" style="121" customWidth="1"/>
    <col min="5918" max="5918" width="12.83203125" style="121" customWidth="1"/>
    <col min="5919" max="5919" width="10.6640625" style="121" customWidth="1"/>
    <col min="5920" max="5920" width="19" style="121" customWidth="1"/>
    <col min="5921" max="5921" width="13.33203125" style="121" customWidth="1"/>
    <col min="5922" max="5922" width="18" style="121" customWidth="1"/>
    <col min="5923" max="5923" width="42.5" style="121" customWidth="1"/>
    <col min="5924" max="5924" width="31" style="121" customWidth="1"/>
    <col min="5925" max="5925" width="35" style="121" customWidth="1"/>
    <col min="5926" max="5926" width="31" style="121" customWidth="1"/>
    <col min="5927" max="5927" width="35" style="121" customWidth="1"/>
    <col min="5928" max="5928" width="31" style="121" customWidth="1"/>
    <col min="5929" max="5929" width="37.83203125" style="121" customWidth="1"/>
    <col min="5930" max="5930" width="11.5" style="121" customWidth="1"/>
    <col min="5931" max="5931" width="54" style="121" customWidth="1"/>
    <col min="5932" max="5932" width="43.5" style="121" customWidth="1"/>
    <col min="5933" max="5933" width="44.6640625" style="121" customWidth="1"/>
    <col min="5934" max="6143" width="6.33203125" style="121"/>
    <col min="6144" max="6145" width="2.1640625" style="121" customWidth="1"/>
    <col min="6146" max="6146" width="0" style="121" hidden="1" customWidth="1"/>
    <col min="6147" max="6149" width="12.83203125" style="121" customWidth="1"/>
    <col min="6150" max="6150" width="12" style="121" customWidth="1"/>
    <col min="6151" max="6151" width="12.33203125" style="121" customWidth="1"/>
    <col min="6152" max="6152" width="13.5" style="121" customWidth="1"/>
    <col min="6153" max="6153" width="0" style="121" hidden="1" customWidth="1"/>
    <col min="6154" max="6156" width="13" style="121" customWidth="1"/>
    <col min="6157" max="6157" width="14.83203125" style="121" customWidth="1"/>
    <col min="6158" max="6158" width="13.33203125" style="121" customWidth="1"/>
    <col min="6159" max="6159" width="13.5" style="121" customWidth="1"/>
    <col min="6160" max="6160" width="2.1640625" style="121" customWidth="1"/>
    <col min="6161" max="6161" width="13.83203125" style="121" customWidth="1"/>
    <col min="6162" max="6162" width="10.6640625" style="121" customWidth="1"/>
    <col min="6163" max="6163" width="12" style="121" customWidth="1"/>
    <col min="6164" max="6164" width="11.5" style="121" customWidth="1"/>
    <col min="6165" max="6165" width="16" style="121" customWidth="1"/>
    <col min="6166" max="6167" width="10.6640625" style="121" customWidth="1"/>
    <col min="6168" max="6168" width="15.5" style="121" customWidth="1"/>
    <col min="6169" max="6169" width="11.5" style="121" customWidth="1"/>
    <col min="6170" max="6170" width="12" style="121" customWidth="1"/>
    <col min="6171" max="6171" width="11.5" style="121" customWidth="1"/>
    <col min="6172" max="6172" width="12" style="121" customWidth="1"/>
    <col min="6173" max="6173" width="11.5" style="121" customWidth="1"/>
    <col min="6174" max="6174" width="12.83203125" style="121" customWidth="1"/>
    <col min="6175" max="6175" width="10.6640625" style="121" customWidth="1"/>
    <col min="6176" max="6176" width="19" style="121" customWidth="1"/>
    <col min="6177" max="6177" width="13.33203125" style="121" customWidth="1"/>
    <col min="6178" max="6178" width="18" style="121" customWidth="1"/>
    <col min="6179" max="6179" width="42.5" style="121" customWidth="1"/>
    <col min="6180" max="6180" width="31" style="121" customWidth="1"/>
    <col min="6181" max="6181" width="35" style="121" customWidth="1"/>
    <col min="6182" max="6182" width="31" style="121" customWidth="1"/>
    <col min="6183" max="6183" width="35" style="121" customWidth="1"/>
    <col min="6184" max="6184" width="31" style="121" customWidth="1"/>
    <col min="6185" max="6185" width="37.83203125" style="121" customWidth="1"/>
    <col min="6186" max="6186" width="11.5" style="121" customWidth="1"/>
    <col min="6187" max="6187" width="54" style="121" customWidth="1"/>
    <col min="6188" max="6188" width="43.5" style="121" customWidth="1"/>
    <col min="6189" max="6189" width="44.6640625" style="121" customWidth="1"/>
    <col min="6190" max="6399" width="6.33203125" style="121"/>
    <col min="6400" max="6401" width="2.1640625" style="121" customWidth="1"/>
    <col min="6402" max="6402" width="0" style="121" hidden="1" customWidth="1"/>
    <col min="6403" max="6405" width="12.83203125" style="121" customWidth="1"/>
    <col min="6406" max="6406" width="12" style="121" customWidth="1"/>
    <col min="6407" max="6407" width="12.33203125" style="121" customWidth="1"/>
    <col min="6408" max="6408" width="13.5" style="121" customWidth="1"/>
    <col min="6409" max="6409" width="0" style="121" hidden="1" customWidth="1"/>
    <col min="6410" max="6412" width="13" style="121" customWidth="1"/>
    <col min="6413" max="6413" width="14.83203125" style="121" customWidth="1"/>
    <col min="6414" max="6414" width="13.33203125" style="121" customWidth="1"/>
    <col min="6415" max="6415" width="13.5" style="121" customWidth="1"/>
    <col min="6416" max="6416" width="2.1640625" style="121" customWidth="1"/>
    <col min="6417" max="6417" width="13.83203125" style="121" customWidth="1"/>
    <col min="6418" max="6418" width="10.6640625" style="121" customWidth="1"/>
    <col min="6419" max="6419" width="12" style="121" customWidth="1"/>
    <col min="6420" max="6420" width="11.5" style="121" customWidth="1"/>
    <col min="6421" max="6421" width="16" style="121" customWidth="1"/>
    <col min="6422" max="6423" width="10.6640625" style="121" customWidth="1"/>
    <col min="6424" max="6424" width="15.5" style="121" customWidth="1"/>
    <col min="6425" max="6425" width="11.5" style="121" customWidth="1"/>
    <col min="6426" max="6426" width="12" style="121" customWidth="1"/>
    <col min="6427" max="6427" width="11.5" style="121" customWidth="1"/>
    <col min="6428" max="6428" width="12" style="121" customWidth="1"/>
    <col min="6429" max="6429" width="11.5" style="121" customWidth="1"/>
    <col min="6430" max="6430" width="12.83203125" style="121" customWidth="1"/>
    <col min="6431" max="6431" width="10.6640625" style="121" customWidth="1"/>
    <col min="6432" max="6432" width="19" style="121" customWidth="1"/>
    <col min="6433" max="6433" width="13.33203125" style="121" customWidth="1"/>
    <col min="6434" max="6434" width="18" style="121" customWidth="1"/>
    <col min="6435" max="6435" width="42.5" style="121" customWidth="1"/>
    <col min="6436" max="6436" width="31" style="121" customWidth="1"/>
    <col min="6437" max="6437" width="35" style="121" customWidth="1"/>
    <col min="6438" max="6438" width="31" style="121" customWidth="1"/>
    <col min="6439" max="6439" width="35" style="121" customWidth="1"/>
    <col min="6440" max="6440" width="31" style="121" customWidth="1"/>
    <col min="6441" max="6441" width="37.83203125" style="121" customWidth="1"/>
    <col min="6442" max="6442" width="11.5" style="121" customWidth="1"/>
    <col min="6443" max="6443" width="54" style="121" customWidth="1"/>
    <col min="6444" max="6444" width="43.5" style="121" customWidth="1"/>
    <col min="6445" max="6445" width="44.6640625" style="121" customWidth="1"/>
    <col min="6446" max="6655" width="6.33203125" style="121"/>
    <col min="6656" max="6657" width="2.1640625" style="121" customWidth="1"/>
    <col min="6658" max="6658" width="0" style="121" hidden="1" customWidth="1"/>
    <col min="6659" max="6661" width="12.83203125" style="121" customWidth="1"/>
    <col min="6662" max="6662" width="12" style="121" customWidth="1"/>
    <col min="6663" max="6663" width="12.33203125" style="121" customWidth="1"/>
    <col min="6664" max="6664" width="13.5" style="121" customWidth="1"/>
    <col min="6665" max="6665" width="0" style="121" hidden="1" customWidth="1"/>
    <col min="6666" max="6668" width="13" style="121" customWidth="1"/>
    <col min="6669" max="6669" width="14.83203125" style="121" customWidth="1"/>
    <col min="6670" max="6670" width="13.33203125" style="121" customWidth="1"/>
    <col min="6671" max="6671" width="13.5" style="121" customWidth="1"/>
    <col min="6672" max="6672" width="2.1640625" style="121" customWidth="1"/>
    <col min="6673" max="6673" width="13.83203125" style="121" customWidth="1"/>
    <col min="6674" max="6674" width="10.6640625" style="121" customWidth="1"/>
    <col min="6675" max="6675" width="12" style="121" customWidth="1"/>
    <col min="6676" max="6676" width="11.5" style="121" customWidth="1"/>
    <col min="6677" max="6677" width="16" style="121" customWidth="1"/>
    <col min="6678" max="6679" width="10.6640625" style="121" customWidth="1"/>
    <col min="6680" max="6680" width="15.5" style="121" customWidth="1"/>
    <col min="6681" max="6681" width="11.5" style="121" customWidth="1"/>
    <col min="6682" max="6682" width="12" style="121" customWidth="1"/>
    <col min="6683" max="6683" width="11.5" style="121" customWidth="1"/>
    <col min="6684" max="6684" width="12" style="121" customWidth="1"/>
    <col min="6685" max="6685" width="11.5" style="121" customWidth="1"/>
    <col min="6686" max="6686" width="12.83203125" style="121" customWidth="1"/>
    <col min="6687" max="6687" width="10.6640625" style="121" customWidth="1"/>
    <col min="6688" max="6688" width="19" style="121" customWidth="1"/>
    <col min="6689" max="6689" width="13.33203125" style="121" customWidth="1"/>
    <col min="6690" max="6690" width="18" style="121" customWidth="1"/>
    <col min="6691" max="6691" width="42.5" style="121" customWidth="1"/>
    <col min="6692" max="6692" width="31" style="121" customWidth="1"/>
    <col min="6693" max="6693" width="35" style="121" customWidth="1"/>
    <col min="6694" max="6694" width="31" style="121" customWidth="1"/>
    <col min="6695" max="6695" width="35" style="121" customWidth="1"/>
    <col min="6696" max="6696" width="31" style="121" customWidth="1"/>
    <col min="6697" max="6697" width="37.83203125" style="121" customWidth="1"/>
    <col min="6698" max="6698" width="11.5" style="121" customWidth="1"/>
    <col min="6699" max="6699" width="54" style="121" customWidth="1"/>
    <col min="6700" max="6700" width="43.5" style="121" customWidth="1"/>
    <col min="6701" max="6701" width="44.6640625" style="121" customWidth="1"/>
    <col min="6702" max="6911" width="6.33203125" style="121"/>
    <col min="6912" max="6913" width="2.1640625" style="121" customWidth="1"/>
    <col min="6914" max="6914" width="0" style="121" hidden="1" customWidth="1"/>
    <col min="6915" max="6917" width="12.83203125" style="121" customWidth="1"/>
    <col min="6918" max="6918" width="12" style="121" customWidth="1"/>
    <col min="6919" max="6919" width="12.33203125" style="121" customWidth="1"/>
    <col min="6920" max="6920" width="13.5" style="121" customWidth="1"/>
    <col min="6921" max="6921" width="0" style="121" hidden="1" customWidth="1"/>
    <col min="6922" max="6924" width="13" style="121" customWidth="1"/>
    <col min="6925" max="6925" width="14.83203125" style="121" customWidth="1"/>
    <col min="6926" max="6926" width="13.33203125" style="121" customWidth="1"/>
    <col min="6927" max="6927" width="13.5" style="121" customWidth="1"/>
    <col min="6928" max="6928" width="2.1640625" style="121" customWidth="1"/>
    <col min="6929" max="6929" width="13.83203125" style="121" customWidth="1"/>
    <col min="6930" max="6930" width="10.6640625" style="121" customWidth="1"/>
    <col min="6931" max="6931" width="12" style="121" customWidth="1"/>
    <col min="6932" max="6932" width="11.5" style="121" customWidth="1"/>
    <col min="6933" max="6933" width="16" style="121" customWidth="1"/>
    <col min="6934" max="6935" width="10.6640625" style="121" customWidth="1"/>
    <col min="6936" max="6936" width="15.5" style="121" customWidth="1"/>
    <col min="6937" max="6937" width="11.5" style="121" customWidth="1"/>
    <col min="6938" max="6938" width="12" style="121" customWidth="1"/>
    <col min="6939" max="6939" width="11.5" style="121" customWidth="1"/>
    <col min="6940" max="6940" width="12" style="121" customWidth="1"/>
    <col min="6941" max="6941" width="11.5" style="121" customWidth="1"/>
    <col min="6942" max="6942" width="12.83203125" style="121" customWidth="1"/>
    <col min="6943" max="6943" width="10.6640625" style="121" customWidth="1"/>
    <col min="6944" max="6944" width="19" style="121" customWidth="1"/>
    <col min="6945" max="6945" width="13.33203125" style="121" customWidth="1"/>
    <col min="6946" max="6946" width="18" style="121" customWidth="1"/>
    <col min="6947" max="6947" width="42.5" style="121" customWidth="1"/>
    <col min="6948" max="6948" width="31" style="121" customWidth="1"/>
    <col min="6949" max="6949" width="35" style="121" customWidth="1"/>
    <col min="6950" max="6950" width="31" style="121" customWidth="1"/>
    <col min="6951" max="6951" width="35" style="121" customWidth="1"/>
    <col min="6952" max="6952" width="31" style="121" customWidth="1"/>
    <col min="6953" max="6953" width="37.83203125" style="121" customWidth="1"/>
    <col min="6954" max="6954" width="11.5" style="121" customWidth="1"/>
    <col min="6955" max="6955" width="54" style="121" customWidth="1"/>
    <col min="6956" max="6956" width="43.5" style="121" customWidth="1"/>
    <col min="6957" max="6957" width="44.6640625" style="121" customWidth="1"/>
    <col min="6958" max="7167" width="6.33203125" style="121"/>
    <col min="7168" max="7169" width="2.1640625" style="121" customWidth="1"/>
    <col min="7170" max="7170" width="0" style="121" hidden="1" customWidth="1"/>
    <col min="7171" max="7173" width="12.83203125" style="121" customWidth="1"/>
    <col min="7174" max="7174" width="12" style="121" customWidth="1"/>
    <col min="7175" max="7175" width="12.33203125" style="121" customWidth="1"/>
    <col min="7176" max="7176" width="13.5" style="121" customWidth="1"/>
    <col min="7177" max="7177" width="0" style="121" hidden="1" customWidth="1"/>
    <col min="7178" max="7180" width="13" style="121" customWidth="1"/>
    <col min="7181" max="7181" width="14.83203125" style="121" customWidth="1"/>
    <col min="7182" max="7182" width="13.33203125" style="121" customWidth="1"/>
    <col min="7183" max="7183" width="13.5" style="121" customWidth="1"/>
    <col min="7184" max="7184" width="2.1640625" style="121" customWidth="1"/>
    <col min="7185" max="7185" width="13.83203125" style="121" customWidth="1"/>
    <col min="7186" max="7186" width="10.6640625" style="121" customWidth="1"/>
    <col min="7187" max="7187" width="12" style="121" customWidth="1"/>
    <col min="7188" max="7188" width="11.5" style="121" customWidth="1"/>
    <col min="7189" max="7189" width="16" style="121" customWidth="1"/>
    <col min="7190" max="7191" width="10.6640625" style="121" customWidth="1"/>
    <col min="7192" max="7192" width="15.5" style="121" customWidth="1"/>
    <col min="7193" max="7193" width="11.5" style="121" customWidth="1"/>
    <col min="7194" max="7194" width="12" style="121" customWidth="1"/>
    <col min="7195" max="7195" width="11.5" style="121" customWidth="1"/>
    <col min="7196" max="7196" width="12" style="121" customWidth="1"/>
    <col min="7197" max="7197" width="11.5" style="121" customWidth="1"/>
    <col min="7198" max="7198" width="12.83203125" style="121" customWidth="1"/>
    <col min="7199" max="7199" width="10.6640625" style="121" customWidth="1"/>
    <col min="7200" max="7200" width="19" style="121" customWidth="1"/>
    <col min="7201" max="7201" width="13.33203125" style="121" customWidth="1"/>
    <col min="7202" max="7202" width="18" style="121" customWidth="1"/>
    <col min="7203" max="7203" width="42.5" style="121" customWidth="1"/>
    <col min="7204" max="7204" width="31" style="121" customWidth="1"/>
    <col min="7205" max="7205" width="35" style="121" customWidth="1"/>
    <col min="7206" max="7206" width="31" style="121" customWidth="1"/>
    <col min="7207" max="7207" width="35" style="121" customWidth="1"/>
    <col min="7208" max="7208" width="31" style="121" customWidth="1"/>
    <col min="7209" max="7209" width="37.83203125" style="121" customWidth="1"/>
    <col min="7210" max="7210" width="11.5" style="121" customWidth="1"/>
    <col min="7211" max="7211" width="54" style="121" customWidth="1"/>
    <col min="7212" max="7212" width="43.5" style="121" customWidth="1"/>
    <col min="7213" max="7213" width="44.6640625" style="121" customWidth="1"/>
    <col min="7214" max="7423" width="6.33203125" style="121"/>
    <col min="7424" max="7425" width="2.1640625" style="121" customWidth="1"/>
    <col min="7426" max="7426" width="0" style="121" hidden="1" customWidth="1"/>
    <col min="7427" max="7429" width="12.83203125" style="121" customWidth="1"/>
    <col min="7430" max="7430" width="12" style="121" customWidth="1"/>
    <col min="7431" max="7431" width="12.33203125" style="121" customWidth="1"/>
    <col min="7432" max="7432" width="13.5" style="121" customWidth="1"/>
    <col min="7433" max="7433" width="0" style="121" hidden="1" customWidth="1"/>
    <col min="7434" max="7436" width="13" style="121" customWidth="1"/>
    <col min="7437" max="7437" width="14.83203125" style="121" customWidth="1"/>
    <col min="7438" max="7438" width="13.33203125" style="121" customWidth="1"/>
    <col min="7439" max="7439" width="13.5" style="121" customWidth="1"/>
    <col min="7440" max="7440" width="2.1640625" style="121" customWidth="1"/>
    <col min="7441" max="7441" width="13.83203125" style="121" customWidth="1"/>
    <col min="7442" max="7442" width="10.6640625" style="121" customWidth="1"/>
    <col min="7443" max="7443" width="12" style="121" customWidth="1"/>
    <col min="7444" max="7444" width="11.5" style="121" customWidth="1"/>
    <col min="7445" max="7445" width="16" style="121" customWidth="1"/>
    <col min="7446" max="7447" width="10.6640625" style="121" customWidth="1"/>
    <col min="7448" max="7448" width="15.5" style="121" customWidth="1"/>
    <col min="7449" max="7449" width="11.5" style="121" customWidth="1"/>
    <col min="7450" max="7450" width="12" style="121" customWidth="1"/>
    <col min="7451" max="7451" width="11.5" style="121" customWidth="1"/>
    <col min="7452" max="7452" width="12" style="121" customWidth="1"/>
    <col min="7453" max="7453" width="11.5" style="121" customWidth="1"/>
    <col min="7454" max="7454" width="12.83203125" style="121" customWidth="1"/>
    <col min="7455" max="7455" width="10.6640625" style="121" customWidth="1"/>
    <col min="7456" max="7456" width="19" style="121" customWidth="1"/>
    <col min="7457" max="7457" width="13.33203125" style="121" customWidth="1"/>
    <col min="7458" max="7458" width="18" style="121" customWidth="1"/>
    <col min="7459" max="7459" width="42.5" style="121" customWidth="1"/>
    <col min="7460" max="7460" width="31" style="121" customWidth="1"/>
    <col min="7461" max="7461" width="35" style="121" customWidth="1"/>
    <col min="7462" max="7462" width="31" style="121" customWidth="1"/>
    <col min="7463" max="7463" width="35" style="121" customWidth="1"/>
    <col min="7464" max="7464" width="31" style="121" customWidth="1"/>
    <col min="7465" max="7465" width="37.83203125" style="121" customWidth="1"/>
    <col min="7466" max="7466" width="11.5" style="121" customWidth="1"/>
    <col min="7467" max="7467" width="54" style="121" customWidth="1"/>
    <col min="7468" max="7468" width="43.5" style="121" customWidth="1"/>
    <col min="7469" max="7469" width="44.6640625" style="121" customWidth="1"/>
    <col min="7470" max="7679" width="6.33203125" style="121"/>
    <col min="7680" max="7681" width="2.1640625" style="121" customWidth="1"/>
    <col min="7682" max="7682" width="0" style="121" hidden="1" customWidth="1"/>
    <col min="7683" max="7685" width="12.83203125" style="121" customWidth="1"/>
    <col min="7686" max="7686" width="12" style="121" customWidth="1"/>
    <col min="7687" max="7687" width="12.33203125" style="121" customWidth="1"/>
    <col min="7688" max="7688" width="13.5" style="121" customWidth="1"/>
    <col min="7689" max="7689" width="0" style="121" hidden="1" customWidth="1"/>
    <col min="7690" max="7692" width="13" style="121" customWidth="1"/>
    <col min="7693" max="7693" width="14.83203125" style="121" customWidth="1"/>
    <col min="7694" max="7694" width="13.33203125" style="121" customWidth="1"/>
    <col min="7695" max="7695" width="13.5" style="121" customWidth="1"/>
    <col min="7696" max="7696" width="2.1640625" style="121" customWidth="1"/>
    <col min="7697" max="7697" width="13.83203125" style="121" customWidth="1"/>
    <col min="7698" max="7698" width="10.6640625" style="121" customWidth="1"/>
    <col min="7699" max="7699" width="12" style="121" customWidth="1"/>
    <col min="7700" max="7700" width="11.5" style="121" customWidth="1"/>
    <col min="7701" max="7701" width="16" style="121" customWidth="1"/>
    <col min="7702" max="7703" width="10.6640625" style="121" customWidth="1"/>
    <col min="7704" max="7704" width="15.5" style="121" customWidth="1"/>
    <col min="7705" max="7705" width="11.5" style="121" customWidth="1"/>
    <col min="7706" max="7706" width="12" style="121" customWidth="1"/>
    <col min="7707" max="7707" width="11.5" style="121" customWidth="1"/>
    <col min="7708" max="7708" width="12" style="121" customWidth="1"/>
    <col min="7709" max="7709" width="11.5" style="121" customWidth="1"/>
    <col min="7710" max="7710" width="12.83203125" style="121" customWidth="1"/>
    <col min="7711" max="7711" width="10.6640625" style="121" customWidth="1"/>
    <col min="7712" max="7712" width="19" style="121" customWidth="1"/>
    <col min="7713" max="7713" width="13.33203125" style="121" customWidth="1"/>
    <col min="7714" max="7714" width="18" style="121" customWidth="1"/>
    <col min="7715" max="7715" width="42.5" style="121" customWidth="1"/>
    <col min="7716" max="7716" width="31" style="121" customWidth="1"/>
    <col min="7717" max="7717" width="35" style="121" customWidth="1"/>
    <col min="7718" max="7718" width="31" style="121" customWidth="1"/>
    <col min="7719" max="7719" width="35" style="121" customWidth="1"/>
    <col min="7720" max="7720" width="31" style="121" customWidth="1"/>
    <col min="7721" max="7721" width="37.83203125" style="121" customWidth="1"/>
    <col min="7722" max="7722" width="11.5" style="121" customWidth="1"/>
    <col min="7723" max="7723" width="54" style="121" customWidth="1"/>
    <col min="7724" max="7724" width="43.5" style="121" customWidth="1"/>
    <col min="7725" max="7725" width="44.6640625" style="121" customWidth="1"/>
    <col min="7726" max="7935" width="6.33203125" style="121"/>
    <col min="7936" max="7937" width="2.1640625" style="121" customWidth="1"/>
    <col min="7938" max="7938" width="0" style="121" hidden="1" customWidth="1"/>
    <col min="7939" max="7941" width="12.83203125" style="121" customWidth="1"/>
    <col min="7942" max="7942" width="12" style="121" customWidth="1"/>
    <col min="7943" max="7943" width="12.33203125" style="121" customWidth="1"/>
    <col min="7944" max="7944" width="13.5" style="121" customWidth="1"/>
    <col min="7945" max="7945" width="0" style="121" hidden="1" customWidth="1"/>
    <col min="7946" max="7948" width="13" style="121" customWidth="1"/>
    <col min="7949" max="7949" width="14.83203125" style="121" customWidth="1"/>
    <col min="7950" max="7950" width="13.33203125" style="121" customWidth="1"/>
    <col min="7951" max="7951" width="13.5" style="121" customWidth="1"/>
    <col min="7952" max="7952" width="2.1640625" style="121" customWidth="1"/>
    <col min="7953" max="7953" width="13.83203125" style="121" customWidth="1"/>
    <col min="7954" max="7954" width="10.6640625" style="121" customWidth="1"/>
    <col min="7955" max="7955" width="12" style="121" customWidth="1"/>
    <col min="7956" max="7956" width="11.5" style="121" customWidth="1"/>
    <col min="7957" max="7957" width="16" style="121" customWidth="1"/>
    <col min="7958" max="7959" width="10.6640625" style="121" customWidth="1"/>
    <col min="7960" max="7960" width="15.5" style="121" customWidth="1"/>
    <col min="7961" max="7961" width="11.5" style="121" customWidth="1"/>
    <col min="7962" max="7962" width="12" style="121" customWidth="1"/>
    <col min="7963" max="7963" width="11.5" style="121" customWidth="1"/>
    <col min="7964" max="7964" width="12" style="121" customWidth="1"/>
    <col min="7965" max="7965" width="11.5" style="121" customWidth="1"/>
    <col min="7966" max="7966" width="12.83203125" style="121" customWidth="1"/>
    <col min="7967" max="7967" width="10.6640625" style="121" customWidth="1"/>
    <col min="7968" max="7968" width="19" style="121" customWidth="1"/>
    <col min="7969" max="7969" width="13.33203125" style="121" customWidth="1"/>
    <col min="7970" max="7970" width="18" style="121" customWidth="1"/>
    <col min="7971" max="7971" width="42.5" style="121" customWidth="1"/>
    <col min="7972" max="7972" width="31" style="121" customWidth="1"/>
    <col min="7973" max="7973" width="35" style="121" customWidth="1"/>
    <col min="7974" max="7974" width="31" style="121" customWidth="1"/>
    <col min="7975" max="7975" width="35" style="121" customWidth="1"/>
    <col min="7976" max="7976" width="31" style="121" customWidth="1"/>
    <col min="7977" max="7977" width="37.83203125" style="121" customWidth="1"/>
    <col min="7978" max="7978" width="11.5" style="121" customWidth="1"/>
    <col min="7979" max="7979" width="54" style="121" customWidth="1"/>
    <col min="7980" max="7980" width="43.5" style="121" customWidth="1"/>
    <col min="7981" max="7981" width="44.6640625" style="121" customWidth="1"/>
    <col min="7982" max="8191" width="6.33203125" style="121"/>
    <col min="8192" max="8193" width="2.1640625" style="121" customWidth="1"/>
    <col min="8194" max="8194" width="0" style="121" hidden="1" customWidth="1"/>
    <col min="8195" max="8197" width="12.83203125" style="121" customWidth="1"/>
    <col min="8198" max="8198" width="12" style="121" customWidth="1"/>
    <col min="8199" max="8199" width="12.33203125" style="121" customWidth="1"/>
    <col min="8200" max="8200" width="13.5" style="121" customWidth="1"/>
    <col min="8201" max="8201" width="0" style="121" hidden="1" customWidth="1"/>
    <col min="8202" max="8204" width="13" style="121" customWidth="1"/>
    <col min="8205" max="8205" width="14.83203125" style="121" customWidth="1"/>
    <col min="8206" max="8206" width="13.33203125" style="121" customWidth="1"/>
    <col min="8207" max="8207" width="13.5" style="121" customWidth="1"/>
    <col min="8208" max="8208" width="2.1640625" style="121" customWidth="1"/>
    <col min="8209" max="8209" width="13.83203125" style="121" customWidth="1"/>
    <col min="8210" max="8210" width="10.6640625" style="121" customWidth="1"/>
    <col min="8211" max="8211" width="12" style="121" customWidth="1"/>
    <col min="8212" max="8212" width="11.5" style="121" customWidth="1"/>
    <col min="8213" max="8213" width="16" style="121" customWidth="1"/>
    <col min="8214" max="8215" width="10.6640625" style="121" customWidth="1"/>
    <col min="8216" max="8216" width="15.5" style="121" customWidth="1"/>
    <col min="8217" max="8217" width="11.5" style="121" customWidth="1"/>
    <col min="8218" max="8218" width="12" style="121" customWidth="1"/>
    <col min="8219" max="8219" width="11.5" style="121" customWidth="1"/>
    <col min="8220" max="8220" width="12" style="121" customWidth="1"/>
    <col min="8221" max="8221" width="11.5" style="121" customWidth="1"/>
    <col min="8222" max="8222" width="12.83203125" style="121" customWidth="1"/>
    <col min="8223" max="8223" width="10.6640625" style="121" customWidth="1"/>
    <col min="8224" max="8224" width="19" style="121" customWidth="1"/>
    <col min="8225" max="8225" width="13.33203125" style="121" customWidth="1"/>
    <col min="8226" max="8226" width="18" style="121" customWidth="1"/>
    <col min="8227" max="8227" width="42.5" style="121" customWidth="1"/>
    <col min="8228" max="8228" width="31" style="121" customWidth="1"/>
    <col min="8229" max="8229" width="35" style="121" customWidth="1"/>
    <col min="8230" max="8230" width="31" style="121" customWidth="1"/>
    <col min="8231" max="8231" width="35" style="121" customWidth="1"/>
    <col min="8232" max="8232" width="31" style="121" customWidth="1"/>
    <col min="8233" max="8233" width="37.83203125" style="121" customWidth="1"/>
    <col min="8234" max="8234" width="11.5" style="121" customWidth="1"/>
    <col min="8235" max="8235" width="54" style="121" customWidth="1"/>
    <col min="8236" max="8236" width="43.5" style="121" customWidth="1"/>
    <col min="8237" max="8237" width="44.6640625" style="121" customWidth="1"/>
    <col min="8238" max="8447" width="6.33203125" style="121"/>
    <col min="8448" max="8449" width="2.1640625" style="121" customWidth="1"/>
    <col min="8450" max="8450" width="0" style="121" hidden="1" customWidth="1"/>
    <col min="8451" max="8453" width="12.83203125" style="121" customWidth="1"/>
    <col min="8454" max="8454" width="12" style="121" customWidth="1"/>
    <col min="8455" max="8455" width="12.33203125" style="121" customWidth="1"/>
    <col min="8456" max="8456" width="13.5" style="121" customWidth="1"/>
    <col min="8457" max="8457" width="0" style="121" hidden="1" customWidth="1"/>
    <col min="8458" max="8460" width="13" style="121" customWidth="1"/>
    <col min="8461" max="8461" width="14.83203125" style="121" customWidth="1"/>
    <col min="8462" max="8462" width="13.33203125" style="121" customWidth="1"/>
    <col min="8463" max="8463" width="13.5" style="121" customWidth="1"/>
    <col min="8464" max="8464" width="2.1640625" style="121" customWidth="1"/>
    <col min="8465" max="8465" width="13.83203125" style="121" customWidth="1"/>
    <col min="8466" max="8466" width="10.6640625" style="121" customWidth="1"/>
    <col min="8467" max="8467" width="12" style="121" customWidth="1"/>
    <col min="8468" max="8468" width="11.5" style="121" customWidth="1"/>
    <col min="8469" max="8469" width="16" style="121" customWidth="1"/>
    <col min="8470" max="8471" width="10.6640625" style="121" customWidth="1"/>
    <col min="8472" max="8472" width="15.5" style="121" customWidth="1"/>
    <col min="8473" max="8473" width="11.5" style="121" customWidth="1"/>
    <col min="8474" max="8474" width="12" style="121" customWidth="1"/>
    <col min="8475" max="8475" width="11.5" style="121" customWidth="1"/>
    <col min="8476" max="8476" width="12" style="121" customWidth="1"/>
    <col min="8477" max="8477" width="11.5" style="121" customWidth="1"/>
    <col min="8478" max="8478" width="12.83203125" style="121" customWidth="1"/>
    <col min="8479" max="8479" width="10.6640625" style="121" customWidth="1"/>
    <col min="8480" max="8480" width="19" style="121" customWidth="1"/>
    <col min="8481" max="8481" width="13.33203125" style="121" customWidth="1"/>
    <col min="8482" max="8482" width="18" style="121" customWidth="1"/>
    <col min="8483" max="8483" width="42.5" style="121" customWidth="1"/>
    <col min="8484" max="8484" width="31" style="121" customWidth="1"/>
    <col min="8485" max="8485" width="35" style="121" customWidth="1"/>
    <col min="8486" max="8486" width="31" style="121" customWidth="1"/>
    <col min="8487" max="8487" width="35" style="121" customWidth="1"/>
    <col min="8488" max="8488" width="31" style="121" customWidth="1"/>
    <col min="8489" max="8489" width="37.83203125" style="121" customWidth="1"/>
    <col min="8490" max="8490" width="11.5" style="121" customWidth="1"/>
    <col min="8491" max="8491" width="54" style="121" customWidth="1"/>
    <col min="8492" max="8492" width="43.5" style="121" customWidth="1"/>
    <col min="8493" max="8493" width="44.6640625" style="121" customWidth="1"/>
    <col min="8494" max="8703" width="6.33203125" style="121"/>
    <col min="8704" max="8705" width="2.1640625" style="121" customWidth="1"/>
    <col min="8706" max="8706" width="0" style="121" hidden="1" customWidth="1"/>
    <col min="8707" max="8709" width="12.83203125" style="121" customWidth="1"/>
    <col min="8710" max="8710" width="12" style="121" customWidth="1"/>
    <col min="8711" max="8711" width="12.33203125" style="121" customWidth="1"/>
    <col min="8712" max="8712" width="13.5" style="121" customWidth="1"/>
    <col min="8713" max="8713" width="0" style="121" hidden="1" customWidth="1"/>
    <col min="8714" max="8716" width="13" style="121" customWidth="1"/>
    <col min="8717" max="8717" width="14.83203125" style="121" customWidth="1"/>
    <col min="8718" max="8718" width="13.33203125" style="121" customWidth="1"/>
    <col min="8719" max="8719" width="13.5" style="121" customWidth="1"/>
    <col min="8720" max="8720" width="2.1640625" style="121" customWidth="1"/>
    <col min="8721" max="8721" width="13.83203125" style="121" customWidth="1"/>
    <col min="8722" max="8722" width="10.6640625" style="121" customWidth="1"/>
    <col min="8723" max="8723" width="12" style="121" customWidth="1"/>
    <col min="8724" max="8724" width="11.5" style="121" customWidth="1"/>
    <col min="8725" max="8725" width="16" style="121" customWidth="1"/>
    <col min="8726" max="8727" width="10.6640625" style="121" customWidth="1"/>
    <col min="8728" max="8728" width="15.5" style="121" customWidth="1"/>
    <col min="8729" max="8729" width="11.5" style="121" customWidth="1"/>
    <col min="8730" max="8730" width="12" style="121" customWidth="1"/>
    <col min="8731" max="8731" width="11.5" style="121" customWidth="1"/>
    <col min="8732" max="8732" width="12" style="121" customWidth="1"/>
    <col min="8733" max="8733" width="11.5" style="121" customWidth="1"/>
    <col min="8734" max="8734" width="12.83203125" style="121" customWidth="1"/>
    <col min="8735" max="8735" width="10.6640625" style="121" customWidth="1"/>
    <col min="8736" max="8736" width="19" style="121" customWidth="1"/>
    <col min="8737" max="8737" width="13.33203125" style="121" customWidth="1"/>
    <col min="8738" max="8738" width="18" style="121" customWidth="1"/>
    <col min="8739" max="8739" width="42.5" style="121" customWidth="1"/>
    <col min="8740" max="8740" width="31" style="121" customWidth="1"/>
    <col min="8741" max="8741" width="35" style="121" customWidth="1"/>
    <col min="8742" max="8742" width="31" style="121" customWidth="1"/>
    <col min="8743" max="8743" width="35" style="121" customWidth="1"/>
    <col min="8744" max="8744" width="31" style="121" customWidth="1"/>
    <col min="8745" max="8745" width="37.83203125" style="121" customWidth="1"/>
    <col min="8746" max="8746" width="11.5" style="121" customWidth="1"/>
    <col min="8747" max="8747" width="54" style="121" customWidth="1"/>
    <col min="8748" max="8748" width="43.5" style="121" customWidth="1"/>
    <col min="8749" max="8749" width="44.6640625" style="121" customWidth="1"/>
    <col min="8750" max="8959" width="6.33203125" style="121"/>
    <col min="8960" max="8961" width="2.1640625" style="121" customWidth="1"/>
    <col min="8962" max="8962" width="0" style="121" hidden="1" customWidth="1"/>
    <col min="8963" max="8965" width="12.83203125" style="121" customWidth="1"/>
    <col min="8966" max="8966" width="12" style="121" customWidth="1"/>
    <col min="8967" max="8967" width="12.33203125" style="121" customWidth="1"/>
    <col min="8968" max="8968" width="13.5" style="121" customWidth="1"/>
    <col min="8969" max="8969" width="0" style="121" hidden="1" customWidth="1"/>
    <col min="8970" max="8972" width="13" style="121" customWidth="1"/>
    <col min="8973" max="8973" width="14.83203125" style="121" customWidth="1"/>
    <col min="8974" max="8974" width="13.33203125" style="121" customWidth="1"/>
    <col min="8975" max="8975" width="13.5" style="121" customWidth="1"/>
    <col min="8976" max="8976" width="2.1640625" style="121" customWidth="1"/>
    <col min="8977" max="8977" width="13.83203125" style="121" customWidth="1"/>
    <col min="8978" max="8978" width="10.6640625" style="121" customWidth="1"/>
    <col min="8979" max="8979" width="12" style="121" customWidth="1"/>
    <col min="8980" max="8980" width="11.5" style="121" customWidth="1"/>
    <col min="8981" max="8981" width="16" style="121" customWidth="1"/>
    <col min="8982" max="8983" width="10.6640625" style="121" customWidth="1"/>
    <col min="8984" max="8984" width="15.5" style="121" customWidth="1"/>
    <col min="8985" max="8985" width="11.5" style="121" customWidth="1"/>
    <col min="8986" max="8986" width="12" style="121" customWidth="1"/>
    <col min="8987" max="8987" width="11.5" style="121" customWidth="1"/>
    <col min="8988" max="8988" width="12" style="121" customWidth="1"/>
    <col min="8989" max="8989" width="11.5" style="121" customWidth="1"/>
    <col min="8990" max="8990" width="12.83203125" style="121" customWidth="1"/>
    <col min="8991" max="8991" width="10.6640625" style="121" customWidth="1"/>
    <col min="8992" max="8992" width="19" style="121" customWidth="1"/>
    <col min="8993" max="8993" width="13.33203125" style="121" customWidth="1"/>
    <col min="8994" max="8994" width="18" style="121" customWidth="1"/>
    <col min="8995" max="8995" width="42.5" style="121" customWidth="1"/>
    <col min="8996" max="8996" width="31" style="121" customWidth="1"/>
    <col min="8997" max="8997" width="35" style="121" customWidth="1"/>
    <col min="8998" max="8998" width="31" style="121" customWidth="1"/>
    <col min="8999" max="8999" width="35" style="121" customWidth="1"/>
    <col min="9000" max="9000" width="31" style="121" customWidth="1"/>
    <col min="9001" max="9001" width="37.83203125" style="121" customWidth="1"/>
    <col min="9002" max="9002" width="11.5" style="121" customWidth="1"/>
    <col min="9003" max="9003" width="54" style="121" customWidth="1"/>
    <col min="9004" max="9004" width="43.5" style="121" customWidth="1"/>
    <col min="9005" max="9005" width="44.6640625" style="121" customWidth="1"/>
    <col min="9006" max="9215" width="6.33203125" style="121"/>
    <col min="9216" max="9217" width="2.1640625" style="121" customWidth="1"/>
    <col min="9218" max="9218" width="0" style="121" hidden="1" customWidth="1"/>
    <col min="9219" max="9221" width="12.83203125" style="121" customWidth="1"/>
    <col min="9222" max="9222" width="12" style="121" customWidth="1"/>
    <col min="9223" max="9223" width="12.33203125" style="121" customWidth="1"/>
    <col min="9224" max="9224" width="13.5" style="121" customWidth="1"/>
    <col min="9225" max="9225" width="0" style="121" hidden="1" customWidth="1"/>
    <col min="9226" max="9228" width="13" style="121" customWidth="1"/>
    <col min="9229" max="9229" width="14.83203125" style="121" customWidth="1"/>
    <col min="9230" max="9230" width="13.33203125" style="121" customWidth="1"/>
    <col min="9231" max="9231" width="13.5" style="121" customWidth="1"/>
    <col min="9232" max="9232" width="2.1640625" style="121" customWidth="1"/>
    <col min="9233" max="9233" width="13.83203125" style="121" customWidth="1"/>
    <col min="9234" max="9234" width="10.6640625" style="121" customWidth="1"/>
    <col min="9235" max="9235" width="12" style="121" customWidth="1"/>
    <col min="9236" max="9236" width="11.5" style="121" customWidth="1"/>
    <col min="9237" max="9237" width="16" style="121" customWidth="1"/>
    <col min="9238" max="9239" width="10.6640625" style="121" customWidth="1"/>
    <col min="9240" max="9240" width="15.5" style="121" customWidth="1"/>
    <col min="9241" max="9241" width="11.5" style="121" customWidth="1"/>
    <col min="9242" max="9242" width="12" style="121" customWidth="1"/>
    <col min="9243" max="9243" width="11.5" style="121" customWidth="1"/>
    <col min="9244" max="9244" width="12" style="121" customWidth="1"/>
    <col min="9245" max="9245" width="11.5" style="121" customWidth="1"/>
    <col min="9246" max="9246" width="12.83203125" style="121" customWidth="1"/>
    <col min="9247" max="9247" width="10.6640625" style="121" customWidth="1"/>
    <col min="9248" max="9248" width="19" style="121" customWidth="1"/>
    <col min="9249" max="9249" width="13.33203125" style="121" customWidth="1"/>
    <col min="9250" max="9250" width="18" style="121" customWidth="1"/>
    <col min="9251" max="9251" width="42.5" style="121" customWidth="1"/>
    <col min="9252" max="9252" width="31" style="121" customWidth="1"/>
    <col min="9253" max="9253" width="35" style="121" customWidth="1"/>
    <col min="9254" max="9254" width="31" style="121" customWidth="1"/>
    <col min="9255" max="9255" width="35" style="121" customWidth="1"/>
    <col min="9256" max="9256" width="31" style="121" customWidth="1"/>
    <col min="9257" max="9257" width="37.83203125" style="121" customWidth="1"/>
    <col min="9258" max="9258" width="11.5" style="121" customWidth="1"/>
    <col min="9259" max="9259" width="54" style="121" customWidth="1"/>
    <col min="9260" max="9260" width="43.5" style="121" customWidth="1"/>
    <col min="9261" max="9261" width="44.6640625" style="121" customWidth="1"/>
    <col min="9262" max="9471" width="6.33203125" style="121"/>
    <col min="9472" max="9473" width="2.1640625" style="121" customWidth="1"/>
    <col min="9474" max="9474" width="0" style="121" hidden="1" customWidth="1"/>
    <col min="9475" max="9477" width="12.83203125" style="121" customWidth="1"/>
    <col min="9478" max="9478" width="12" style="121" customWidth="1"/>
    <col min="9479" max="9479" width="12.33203125" style="121" customWidth="1"/>
    <col min="9480" max="9480" width="13.5" style="121" customWidth="1"/>
    <col min="9481" max="9481" width="0" style="121" hidden="1" customWidth="1"/>
    <col min="9482" max="9484" width="13" style="121" customWidth="1"/>
    <col min="9485" max="9485" width="14.83203125" style="121" customWidth="1"/>
    <col min="9486" max="9486" width="13.33203125" style="121" customWidth="1"/>
    <col min="9487" max="9487" width="13.5" style="121" customWidth="1"/>
    <col min="9488" max="9488" width="2.1640625" style="121" customWidth="1"/>
    <col min="9489" max="9489" width="13.83203125" style="121" customWidth="1"/>
    <col min="9490" max="9490" width="10.6640625" style="121" customWidth="1"/>
    <col min="9491" max="9491" width="12" style="121" customWidth="1"/>
    <col min="9492" max="9492" width="11.5" style="121" customWidth="1"/>
    <col min="9493" max="9493" width="16" style="121" customWidth="1"/>
    <col min="9494" max="9495" width="10.6640625" style="121" customWidth="1"/>
    <col min="9496" max="9496" width="15.5" style="121" customWidth="1"/>
    <col min="9497" max="9497" width="11.5" style="121" customWidth="1"/>
    <col min="9498" max="9498" width="12" style="121" customWidth="1"/>
    <col min="9499" max="9499" width="11.5" style="121" customWidth="1"/>
    <col min="9500" max="9500" width="12" style="121" customWidth="1"/>
    <col min="9501" max="9501" width="11.5" style="121" customWidth="1"/>
    <col min="9502" max="9502" width="12.83203125" style="121" customWidth="1"/>
    <col min="9503" max="9503" width="10.6640625" style="121" customWidth="1"/>
    <col min="9504" max="9504" width="19" style="121" customWidth="1"/>
    <col min="9505" max="9505" width="13.33203125" style="121" customWidth="1"/>
    <col min="9506" max="9506" width="18" style="121" customWidth="1"/>
    <col min="9507" max="9507" width="42.5" style="121" customWidth="1"/>
    <col min="9508" max="9508" width="31" style="121" customWidth="1"/>
    <col min="9509" max="9509" width="35" style="121" customWidth="1"/>
    <col min="9510" max="9510" width="31" style="121" customWidth="1"/>
    <col min="9511" max="9511" width="35" style="121" customWidth="1"/>
    <col min="9512" max="9512" width="31" style="121" customWidth="1"/>
    <col min="9513" max="9513" width="37.83203125" style="121" customWidth="1"/>
    <col min="9514" max="9514" width="11.5" style="121" customWidth="1"/>
    <col min="9515" max="9515" width="54" style="121" customWidth="1"/>
    <col min="9516" max="9516" width="43.5" style="121" customWidth="1"/>
    <col min="9517" max="9517" width="44.6640625" style="121" customWidth="1"/>
    <col min="9518" max="9727" width="6.33203125" style="121"/>
    <col min="9728" max="9729" width="2.1640625" style="121" customWidth="1"/>
    <col min="9730" max="9730" width="0" style="121" hidden="1" customWidth="1"/>
    <col min="9731" max="9733" width="12.83203125" style="121" customWidth="1"/>
    <col min="9734" max="9734" width="12" style="121" customWidth="1"/>
    <col min="9735" max="9735" width="12.33203125" style="121" customWidth="1"/>
    <col min="9736" max="9736" width="13.5" style="121" customWidth="1"/>
    <col min="9737" max="9737" width="0" style="121" hidden="1" customWidth="1"/>
    <col min="9738" max="9740" width="13" style="121" customWidth="1"/>
    <col min="9741" max="9741" width="14.83203125" style="121" customWidth="1"/>
    <col min="9742" max="9742" width="13.33203125" style="121" customWidth="1"/>
    <col min="9743" max="9743" width="13.5" style="121" customWidth="1"/>
    <col min="9744" max="9744" width="2.1640625" style="121" customWidth="1"/>
    <col min="9745" max="9745" width="13.83203125" style="121" customWidth="1"/>
    <col min="9746" max="9746" width="10.6640625" style="121" customWidth="1"/>
    <col min="9747" max="9747" width="12" style="121" customWidth="1"/>
    <col min="9748" max="9748" width="11.5" style="121" customWidth="1"/>
    <col min="9749" max="9749" width="16" style="121" customWidth="1"/>
    <col min="9750" max="9751" width="10.6640625" style="121" customWidth="1"/>
    <col min="9752" max="9752" width="15.5" style="121" customWidth="1"/>
    <col min="9753" max="9753" width="11.5" style="121" customWidth="1"/>
    <col min="9754" max="9754" width="12" style="121" customWidth="1"/>
    <col min="9755" max="9755" width="11.5" style="121" customWidth="1"/>
    <col min="9756" max="9756" width="12" style="121" customWidth="1"/>
    <col min="9757" max="9757" width="11.5" style="121" customWidth="1"/>
    <col min="9758" max="9758" width="12.83203125" style="121" customWidth="1"/>
    <col min="9759" max="9759" width="10.6640625" style="121" customWidth="1"/>
    <col min="9760" max="9760" width="19" style="121" customWidth="1"/>
    <col min="9761" max="9761" width="13.33203125" style="121" customWidth="1"/>
    <col min="9762" max="9762" width="18" style="121" customWidth="1"/>
    <col min="9763" max="9763" width="42.5" style="121" customWidth="1"/>
    <col min="9764" max="9764" width="31" style="121" customWidth="1"/>
    <col min="9765" max="9765" width="35" style="121" customWidth="1"/>
    <col min="9766" max="9766" width="31" style="121" customWidth="1"/>
    <col min="9767" max="9767" width="35" style="121" customWidth="1"/>
    <col min="9768" max="9768" width="31" style="121" customWidth="1"/>
    <col min="9769" max="9769" width="37.83203125" style="121" customWidth="1"/>
    <col min="9770" max="9770" width="11.5" style="121" customWidth="1"/>
    <col min="9771" max="9771" width="54" style="121" customWidth="1"/>
    <col min="9772" max="9772" width="43.5" style="121" customWidth="1"/>
    <col min="9773" max="9773" width="44.6640625" style="121" customWidth="1"/>
    <col min="9774" max="9983" width="6.33203125" style="121"/>
    <col min="9984" max="9985" width="2.1640625" style="121" customWidth="1"/>
    <col min="9986" max="9986" width="0" style="121" hidden="1" customWidth="1"/>
    <col min="9987" max="9989" width="12.83203125" style="121" customWidth="1"/>
    <col min="9990" max="9990" width="12" style="121" customWidth="1"/>
    <col min="9991" max="9991" width="12.33203125" style="121" customWidth="1"/>
    <col min="9992" max="9992" width="13.5" style="121" customWidth="1"/>
    <col min="9993" max="9993" width="0" style="121" hidden="1" customWidth="1"/>
    <col min="9994" max="9996" width="13" style="121" customWidth="1"/>
    <col min="9997" max="9997" width="14.83203125" style="121" customWidth="1"/>
    <col min="9998" max="9998" width="13.33203125" style="121" customWidth="1"/>
    <col min="9999" max="9999" width="13.5" style="121" customWidth="1"/>
    <col min="10000" max="10000" width="2.1640625" style="121" customWidth="1"/>
    <col min="10001" max="10001" width="13.83203125" style="121" customWidth="1"/>
    <col min="10002" max="10002" width="10.6640625" style="121" customWidth="1"/>
    <col min="10003" max="10003" width="12" style="121" customWidth="1"/>
    <col min="10004" max="10004" width="11.5" style="121" customWidth="1"/>
    <col min="10005" max="10005" width="16" style="121" customWidth="1"/>
    <col min="10006" max="10007" width="10.6640625" style="121" customWidth="1"/>
    <col min="10008" max="10008" width="15.5" style="121" customWidth="1"/>
    <col min="10009" max="10009" width="11.5" style="121" customWidth="1"/>
    <col min="10010" max="10010" width="12" style="121" customWidth="1"/>
    <col min="10011" max="10011" width="11.5" style="121" customWidth="1"/>
    <col min="10012" max="10012" width="12" style="121" customWidth="1"/>
    <col min="10013" max="10013" width="11.5" style="121" customWidth="1"/>
    <col min="10014" max="10014" width="12.83203125" style="121" customWidth="1"/>
    <col min="10015" max="10015" width="10.6640625" style="121" customWidth="1"/>
    <col min="10016" max="10016" width="19" style="121" customWidth="1"/>
    <col min="10017" max="10017" width="13.33203125" style="121" customWidth="1"/>
    <col min="10018" max="10018" width="18" style="121" customWidth="1"/>
    <col min="10019" max="10019" width="42.5" style="121" customWidth="1"/>
    <col min="10020" max="10020" width="31" style="121" customWidth="1"/>
    <col min="10021" max="10021" width="35" style="121" customWidth="1"/>
    <col min="10022" max="10022" width="31" style="121" customWidth="1"/>
    <col min="10023" max="10023" width="35" style="121" customWidth="1"/>
    <col min="10024" max="10024" width="31" style="121" customWidth="1"/>
    <col min="10025" max="10025" width="37.83203125" style="121" customWidth="1"/>
    <col min="10026" max="10026" width="11.5" style="121" customWidth="1"/>
    <col min="10027" max="10027" width="54" style="121" customWidth="1"/>
    <col min="10028" max="10028" width="43.5" style="121" customWidth="1"/>
    <col min="10029" max="10029" width="44.6640625" style="121" customWidth="1"/>
    <col min="10030" max="10239" width="6.33203125" style="121"/>
    <col min="10240" max="10241" width="2.1640625" style="121" customWidth="1"/>
    <col min="10242" max="10242" width="0" style="121" hidden="1" customWidth="1"/>
    <col min="10243" max="10245" width="12.83203125" style="121" customWidth="1"/>
    <col min="10246" max="10246" width="12" style="121" customWidth="1"/>
    <col min="10247" max="10247" width="12.33203125" style="121" customWidth="1"/>
    <col min="10248" max="10248" width="13.5" style="121" customWidth="1"/>
    <col min="10249" max="10249" width="0" style="121" hidden="1" customWidth="1"/>
    <col min="10250" max="10252" width="13" style="121" customWidth="1"/>
    <col min="10253" max="10253" width="14.83203125" style="121" customWidth="1"/>
    <col min="10254" max="10254" width="13.33203125" style="121" customWidth="1"/>
    <col min="10255" max="10255" width="13.5" style="121" customWidth="1"/>
    <col min="10256" max="10256" width="2.1640625" style="121" customWidth="1"/>
    <col min="10257" max="10257" width="13.83203125" style="121" customWidth="1"/>
    <col min="10258" max="10258" width="10.6640625" style="121" customWidth="1"/>
    <col min="10259" max="10259" width="12" style="121" customWidth="1"/>
    <col min="10260" max="10260" width="11.5" style="121" customWidth="1"/>
    <col min="10261" max="10261" width="16" style="121" customWidth="1"/>
    <col min="10262" max="10263" width="10.6640625" style="121" customWidth="1"/>
    <col min="10264" max="10264" width="15.5" style="121" customWidth="1"/>
    <col min="10265" max="10265" width="11.5" style="121" customWidth="1"/>
    <col min="10266" max="10266" width="12" style="121" customWidth="1"/>
    <col min="10267" max="10267" width="11.5" style="121" customWidth="1"/>
    <col min="10268" max="10268" width="12" style="121" customWidth="1"/>
    <col min="10269" max="10269" width="11.5" style="121" customWidth="1"/>
    <col min="10270" max="10270" width="12.83203125" style="121" customWidth="1"/>
    <col min="10271" max="10271" width="10.6640625" style="121" customWidth="1"/>
    <col min="10272" max="10272" width="19" style="121" customWidth="1"/>
    <col min="10273" max="10273" width="13.33203125" style="121" customWidth="1"/>
    <col min="10274" max="10274" width="18" style="121" customWidth="1"/>
    <col min="10275" max="10275" width="42.5" style="121" customWidth="1"/>
    <col min="10276" max="10276" width="31" style="121" customWidth="1"/>
    <col min="10277" max="10277" width="35" style="121" customWidth="1"/>
    <col min="10278" max="10278" width="31" style="121" customWidth="1"/>
    <col min="10279" max="10279" width="35" style="121" customWidth="1"/>
    <col min="10280" max="10280" width="31" style="121" customWidth="1"/>
    <col min="10281" max="10281" width="37.83203125" style="121" customWidth="1"/>
    <col min="10282" max="10282" width="11.5" style="121" customWidth="1"/>
    <col min="10283" max="10283" width="54" style="121" customWidth="1"/>
    <col min="10284" max="10284" width="43.5" style="121" customWidth="1"/>
    <col min="10285" max="10285" width="44.6640625" style="121" customWidth="1"/>
    <col min="10286" max="10495" width="6.33203125" style="121"/>
    <col min="10496" max="10497" width="2.1640625" style="121" customWidth="1"/>
    <col min="10498" max="10498" width="0" style="121" hidden="1" customWidth="1"/>
    <col min="10499" max="10501" width="12.83203125" style="121" customWidth="1"/>
    <col min="10502" max="10502" width="12" style="121" customWidth="1"/>
    <col min="10503" max="10503" width="12.33203125" style="121" customWidth="1"/>
    <col min="10504" max="10504" width="13.5" style="121" customWidth="1"/>
    <col min="10505" max="10505" width="0" style="121" hidden="1" customWidth="1"/>
    <col min="10506" max="10508" width="13" style="121" customWidth="1"/>
    <col min="10509" max="10509" width="14.83203125" style="121" customWidth="1"/>
    <col min="10510" max="10510" width="13.33203125" style="121" customWidth="1"/>
    <col min="10511" max="10511" width="13.5" style="121" customWidth="1"/>
    <col min="10512" max="10512" width="2.1640625" style="121" customWidth="1"/>
    <col min="10513" max="10513" width="13.83203125" style="121" customWidth="1"/>
    <col min="10514" max="10514" width="10.6640625" style="121" customWidth="1"/>
    <col min="10515" max="10515" width="12" style="121" customWidth="1"/>
    <col min="10516" max="10516" width="11.5" style="121" customWidth="1"/>
    <col min="10517" max="10517" width="16" style="121" customWidth="1"/>
    <col min="10518" max="10519" width="10.6640625" style="121" customWidth="1"/>
    <col min="10520" max="10520" width="15.5" style="121" customWidth="1"/>
    <col min="10521" max="10521" width="11.5" style="121" customWidth="1"/>
    <col min="10522" max="10522" width="12" style="121" customWidth="1"/>
    <col min="10523" max="10523" width="11.5" style="121" customWidth="1"/>
    <col min="10524" max="10524" width="12" style="121" customWidth="1"/>
    <col min="10525" max="10525" width="11.5" style="121" customWidth="1"/>
    <col min="10526" max="10526" width="12.83203125" style="121" customWidth="1"/>
    <col min="10527" max="10527" width="10.6640625" style="121" customWidth="1"/>
    <col min="10528" max="10528" width="19" style="121" customWidth="1"/>
    <col min="10529" max="10529" width="13.33203125" style="121" customWidth="1"/>
    <col min="10530" max="10530" width="18" style="121" customWidth="1"/>
    <col min="10531" max="10531" width="42.5" style="121" customWidth="1"/>
    <col min="10532" max="10532" width="31" style="121" customWidth="1"/>
    <col min="10533" max="10533" width="35" style="121" customWidth="1"/>
    <col min="10534" max="10534" width="31" style="121" customWidth="1"/>
    <col min="10535" max="10535" width="35" style="121" customWidth="1"/>
    <col min="10536" max="10536" width="31" style="121" customWidth="1"/>
    <col min="10537" max="10537" width="37.83203125" style="121" customWidth="1"/>
    <col min="10538" max="10538" width="11.5" style="121" customWidth="1"/>
    <col min="10539" max="10539" width="54" style="121" customWidth="1"/>
    <col min="10540" max="10540" width="43.5" style="121" customWidth="1"/>
    <col min="10541" max="10541" width="44.6640625" style="121" customWidth="1"/>
    <col min="10542" max="10751" width="6.33203125" style="121"/>
    <col min="10752" max="10753" width="2.1640625" style="121" customWidth="1"/>
    <col min="10754" max="10754" width="0" style="121" hidden="1" customWidth="1"/>
    <col min="10755" max="10757" width="12.83203125" style="121" customWidth="1"/>
    <col min="10758" max="10758" width="12" style="121" customWidth="1"/>
    <col min="10759" max="10759" width="12.33203125" style="121" customWidth="1"/>
    <col min="10760" max="10760" width="13.5" style="121" customWidth="1"/>
    <col min="10761" max="10761" width="0" style="121" hidden="1" customWidth="1"/>
    <col min="10762" max="10764" width="13" style="121" customWidth="1"/>
    <col min="10765" max="10765" width="14.83203125" style="121" customWidth="1"/>
    <col min="10766" max="10766" width="13.33203125" style="121" customWidth="1"/>
    <col min="10767" max="10767" width="13.5" style="121" customWidth="1"/>
    <col min="10768" max="10768" width="2.1640625" style="121" customWidth="1"/>
    <col min="10769" max="10769" width="13.83203125" style="121" customWidth="1"/>
    <col min="10770" max="10770" width="10.6640625" style="121" customWidth="1"/>
    <col min="10771" max="10771" width="12" style="121" customWidth="1"/>
    <col min="10772" max="10772" width="11.5" style="121" customWidth="1"/>
    <col min="10773" max="10773" width="16" style="121" customWidth="1"/>
    <col min="10774" max="10775" width="10.6640625" style="121" customWidth="1"/>
    <col min="10776" max="10776" width="15.5" style="121" customWidth="1"/>
    <col min="10777" max="10777" width="11.5" style="121" customWidth="1"/>
    <col min="10778" max="10778" width="12" style="121" customWidth="1"/>
    <col min="10779" max="10779" width="11.5" style="121" customWidth="1"/>
    <col min="10780" max="10780" width="12" style="121" customWidth="1"/>
    <col min="10781" max="10781" width="11.5" style="121" customWidth="1"/>
    <col min="10782" max="10782" width="12.83203125" style="121" customWidth="1"/>
    <col min="10783" max="10783" width="10.6640625" style="121" customWidth="1"/>
    <col min="10784" max="10784" width="19" style="121" customWidth="1"/>
    <col min="10785" max="10785" width="13.33203125" style="121" customWidth="1"/>
    <col min="10786" max="10786" width="18" style="121" customWidth="1"/>
    <col min="10787" max="10787" width="42.5" style="121" customWidth="1"/>
    <col min="10788" max="10788" width="31" style="121" customWidth="1"/>
    <col min="10789" max="10789" width="35" style="121" customWidth="1"/>
    <col min="10790" max="10790" width="31" style="121" customWidth="1"/>
    <col min="10791" max="10791" width="35" style="121" customWidth="1"/>
    <col min="10792" max="10792" width="31" style="121" customWidth="1"/>
    <col min="10793" max="10793" width="37.83203125" style="121" customWidth="1"/>
    <col min="10794" max="10794" width="11.5" style="121" customWidth="1"/>
    <col min="10795" max="10795" width="54" style="121" customWidth="1"/>
    <col min="10796" max="10796" width="43.5" style="121" customWidth="1"/>
    <col min="10797" max="10797" width="44.6640625" style="121" customWidth="1"/>
    <col min="10798" max="11007" width="6.33203125" style="121"/>
    <col min="11008" max="11009" width="2.1640625" style="121" customWidth="1"/>
    <col min="11010" max="11010" width="0" style="121" hidden="1" customWidth="1"/>
    <col min="11011" max="11013" width="12.83203125" style="121" customWidth="1"/>
    <col min="11014" max="11014" width="12" style="121" customWidth="1"/>
    <col min="11015" max="11015" width="12.33203125" style="121" customWidth="1"/>
    <col min="11016" max="11016" width="13.5" style="121" customWidth="1"/>
    <col min="11017" max="11017" width="0" style="121" hidden="1" customWidth="1"/>
    <col min="11018" max="11020" width="13" style="121" customWidth="1"/>
    <col min="11021" max="11021" width="14.83203125" style="121" customWidth="1"/>
    <col min="11022" max="11022" width="13.33203125" style="121" customWidth="1"/>
    <col min="11023" max="11023" width="13.5" style="121" customWidth="1"/>
    <col min="11024" max="11024" width="2.1640625" style="121" customWidth="1"/>
    <col min="11025" max="11025" width="13.83203125" style="121" customWidth="1"/>
    <col min="11026" max="11026" width="10.6640625" style="121" customWidth="1"/>
    <col min="11027" max="11027" width="12" style="121" customWidth="1"/>
    <col min="11028" max="11028" width="11.5" style="121" customWidth="1"/>
    <col min="11029" max="11029" width="16" style="121" customWidth="1"/>
    <col min="11030" max="11031" width="10.6640625" style="121" customWidth="1"/>
    <col min="11032" max="11032" width="15.5" style="121" customWidth="1"/>
    <col min="11033" max="11033" width="11.5" style="121" customWidth="1"/>
    <col min="11034" max="11034" width="12" style="121" customWidth="1"/>
    <col min="11035" max="11035" width="11.5" style="121" customWidth="1"/>
    <col min="11036" max="11036" width="12" style="121" customWidth="1"/>
    <col min="11037" max="11037" width="11.5" style="121" customWidth="1"/>
    <col min="11038" max="11038" width="12.83203125" style="121" customWidth="1"/>
    <col min="11039" max="11039" width="10.6640625" style="121" customWidth="1"/>
    <col min="11040" max="11040" width="19" style="121" customWidth="1"/>
    <col min="11041" max="11041" width="13.33203125" style="121" customWidth="1"/>
    <col min="11042" max="11042" width="18" style="121" customWidth="1"/>
    <col min="11043" max="11043" width="42.5" style="121" customWidth="1"/>
    <col min="11044" max="11044" width="31" style="121" customWidth="1"/>
    <col min="11045" max="11045" width="35" style="121" customWidth="1"/>
    <col min="11046" max="11046" width="31" style="121" customWidth="1"/>
    <col min="11047" max="11047" width="35" style="121" customWidth="1"/>
    <col min="11048" max="11048" width="31" style="121" customWidth="1"/>
    <col min="11049" max="11049" width="37.83203125" style="121" customWidth="1"/>
    <col min="11050" max="11050" width="11.5" style="121" customWidth="1"/>
    <col min="11051" max="11051" width="54" style="121" customWidth="1"/>
    <col min="11052" max="11052" width="43.5" style="121" customWidth="1"/>
    <col min="11053" max="11053" width="44.6640625" style="121" customWidth="1"/>
    <col min="11054" max="11263" width="6.33203125" style="121"/>
    <col min="11264" max="11265" width="2.1640625" style="121" customWidth="1"/>
    <col min="11266" max="11266" width="0" style="121" hidden="1" customWidth="1"/>
    <col min="11267" max="11269" width="12.83203125" style="121" customWidth="1"/>
    <col min="11270" max="11270" width="12" style="121" customWidth="1"/>
    <col min="11271" max="11271" width="12.33203125" style="121" customWidth="1"/>
    <col min="11272" max="11272" width="13.5" style="121" customWidth="1"/>
    <col min="11273" max="11273" width="0" style="121" hidden="1" customWidth="1"/>
    <col min="11274" max="11276" width="13" style="121" customWidth="1"/>
    <col min="11277" max="11277" width="14.83203125" style="121" customWidth="1"/>
    <col min="11278" max="11278" width="13.33203125" style="121" customWidth="1"/>
    <col min="11279" max="11279" width="13.5" style="121" customWidth="1"/>
    <col min="11280" max="11280" width="2.1640625" style="121" customWidth="1"/>
    <col min="11281" max="11281" width="13.83203125" style="121" customWidth="1"/>
    <col min="11282" max="11282" width="10.6640625" style="121" customWidth="1"/>
    <col min="11283" max="11283" width="12" style="121" customWidth="1"/>
    <col min="11284" max="11284" width="11.5" style="121" customWidth="1"/>
    <col min="11285" max="11285" width="16" style="121" customWidth="1"/>
    <col min="11286" max="11287" width="10.6640625" style="121" customWidth="1"/>
    <col min="11288" max="11288" width="15.5" style="121" customWidth="1"/>
    <col min="11289" max="11289" width="11.5" style="121" customWidth="1"/>
    <col min="11290" max="11290" width="12" style="121" customWidth="1"/>
    <col min="11291" max="11291" width="11.5" style="121" customWidth="1"/>
    <col min="11292" max="11292" width="12" style="121" customWidth="1"/>
    <col min="11293" max="11293" width="11.5" style="121" customWidth="1"/>
    <col min="11294" max="11294" width="12.83203125" style="121" customWidth="1"/>
    <col min="11295" max="11295" width="10.6640625" style="121" customWidth="1"/>
    <col min="11296" max="11296" width="19" style="121" customWidth="1"/>
    <col min="11297" max="11297" width="13.33203125" style="121" customWidth="1"/>
    <col min="11298" max="11298" width="18" style="121" customWidth="1"/>
    <col min="11299" max="11299" width="42.5" style="121" customWidth="1"/>
    <col min="11300" max="11300" width="31" style="121" customWidth="1"/>
    <col min="11301" max="11301" width="35" style="121" customWidth="1"/>
    <col min="11302" max="11302" width="31" style="121" customWidth="1"/>
    <col min="11303" max="11303" width="35" style="121" customWidth="1"/>
    <col min="11304" max="11304" width="31" style="121" customWidth="1"/>
    <col min="11305" max="11305" width="37.83203125" style="121" customWidth="1"/>
    <col min="11306" max="11306" width="11.5" style="121" customWidth="1"/>
    <col min="11307" max="11307" width="54" style="121" customWidth="1"/>
    <col min="11308" max="11308" width="43.5" style="121" customWidth="1"/>
    <col min="11309" max="11309" width="44.6640625" style="121" customWidth="1"/>
    <col min="11310" max="11519" width="6.33203125" style="121"/>
    <col min="11520" max="11521" width="2.1640625" style="121" customWidth="1"/>
    <col min="11522" max="11522" width="0" style="121" hidden="1" customWidth="1"/>
    <col min="11523" max="11525" width="12.83203125" style="121" customWidth="1"/>
    <col min="11526" max="11526" width="12" style="121" customWidth="1"/>
    <col min="11527" max="11527" width="12.33203125" style="121" customWidth="1"/>
    <col min="11528" max="11528" width="13.5" style="121" customWidth="1"/>
    <col min="11529" max="11529" width="0" style="121" hidden="1" customWidth="1"/>
    <col min="11530" max="11532" width="13" style="121" customWidth="1"/>
    <col min="11533" max="11533" width="14.83203125" style="121" customWidth="1"/>
    <col min="11534" max="11534" width="13.33203125" style="121" customWidth="1"/>
    <col min="11535" max="11535" width="13.5" style="121" customWidth="1"/>
    <col min="11536" max="11536" width="2.1640625" style="121" customWidth="1"/>
    <col min="11537" max="11537" width="13.83203125" style="121" customWidth="1"/>
    <col min="11538" max="11538" width="10.6640625" style="121" customWidth="1"/>
    <col min="11539" max="11539" width="12" style="121" customWidth="1"/>
    <col min="11540" max="11540" width="11.5" style="121" customWidth="1"/>
    <col min="11541" max="11541" width="16" style="121" customWidth="1"/>
    <col min="11542" max="11543" width="10.6640625" style="121" customWidth="1"/>
    <col min="11544" max="11544" width="15.5" style="121" customWidth="1"/>
    <col min="11545" max="11545" width="11.5" style="121" customWidth="1"/>
    <col min="11546" max="11546" width="12" style="121" customWidth="1"/>
    <col min="11547" max="11547" width="11.5" style="121" customWidth="1"/>
    <col min="11548" max="11548" width="12" style="121" customWidth="1"/>
    <col min="11549" max="11549" width="11.5" style="121" customWidth="1"/>
    <col min="11550" max="11550" width="12.83203125" style="121" customWidth="1"/>
    <col min="11551" max="11551" width="10.6640625" style="121" customWidth="1"/>
    <col min="11552" max="11552" width="19" style="121" customWidth="1"/>
    <col min="11553" max="11553" width="13.33203125" style="121" customWidth="1"/>
    <col min="11554" max="11554" width="18" style="121" customWidth="1"/>
    <col min="11555" max="11555" width="42.5" style="121" customWidth="1"/>
    <col min="11556" max="11556" width="31" style="121" customWidth="1"/>
    <col min="11557" max="11557" width="35" style="121" customWidth="1"/>
    <col min="11558" max="11558" width="31" style="121" customWidth="1"/>
    <col min="11559" max="11559" width="35" style="121" customWidth="1"/>
    <col min="11560" max="11560" width="31" style="121" customWidth="1"/>
    <col min="11561" max="11561" width="37.83203125" style="121" customWidth="1"/>
    <col min="11562" max="11562" width="11.5" style="121" customWidth="1"/>
    <col min="11563" max="11563" width="54" style="121" customWidth="1"/>
    <col min="11564" max="11564" width="43.5" style="121" customWidth="1"/>
    <col min="11565" max="11565" width="44.6640625" style="121" customWidth="1"/>
    <col min="11566" max="11775" width="6.33203125" style="121"/>
    <col min="11776" max="11777" width="2.1640625" style="121" customWidth="1"/>
    <col min="11778" max="11778" width="0" style="121" hidden="1" customWidth="1"/>
    <col min="11779" max="11781" width="12.83203125" style="121" customWidth="1"/>
    <col min="11782" max="11782" width="12" style="121" customWidth="1"/>
    <col min="11783" max="11783" width="12.33203125" style="121" customWidth="1"/>
    <col min="11784" max="11784" width="13.5" style="121" customWidth="1"/>
    <col min="11785" max="11785" width="0" style="121" hidden="1" customWidth="1"/>
    <col min="11786" max="11788" width="13" style="121" customWidth="1"/>
    <col min="11789" max="11789" width="14.83203125" style="121" customWidth="1"/>
    <col min="11790" max="11790" width="13.33203125" style="121" customWidth="1"/>
    <col min="11791" max="11791" width="13.5" style="121" customWidth="1"/>
    <col min="11792" max="11792" width="2.1640625" style="121" customWidth="1"/>
    <col min="11793" max="11793" width="13.83203125" style="121" customWidth="1"/>
    <col min="11794" max="11794" width="10.6640625" style="121" customWidth="1"/>
    <col min="11795" max="11795" width="12" style="121" customWidth="1"/>
    <col min="11796" max="11796" width="11.5" style="121" customWidth="1"/>
    <col min="11797" max="11797" width="16" style="121" customWidth="1"/>
    <col min="11798" max="11799" width="10.6640625" style="121" customWidth="1"/>
    <col min="11800" max="11800" width="15.5" style="121" customWidth="1"/>
    <col min="11801" max="11801" width="11.5" style="121" customWidth="1"/>
    <col min="11802" max="11802" width="12" style="121" customWidth="1"/>
    <col min="11803" max="11803" width="11.5" style="121" customWidth="1"/>
    <col min="11804" max="11804" width="12" style="121" customWidth="1"/>
    <col min="11805" max="11805" width="11.5" style="121" customWidth="1"/>
    <col min="11806" max="11806" width="12.83203125" style="121" customWidth="1"/>
    <col min="11807" max="11807" width="10.6640625" style="121" customWidth="1"/>
    <col min="11808" max="11808" width="19" style="121" customWidth="1"/>
    <col min="11809" max="11809" width="13.33203125" style="121" customWidth="1"/>
    <col min="11810" max="11810" width="18" style="121" customWidth="1"/>
    <col min="11811" max="11811" width="42.5" style="121" customWidth="1"/>
    <col min="11812" max="11812" width="31" style="121" customWidth="1"/>
    <col min="11813" max="11813" width="35" style="121" customWidth="1"/>
    <col min="11814" max="11814" width="31" style="121" customWidth="1"/>
    <col min="11815" max="11815" width="35" style="121" customWidth="1"/>
    <col min="11816" max="11816" width="31" style="121" customWidth="1"/>
    <col min="11817" max="11817" width="37.83203125" style="121" customWidth="1"/>
    <col min="11818" max="11818" width="11.5" style="121" customWidth="1"/>
    <col min="11819" max="11819" width="54" style="121" customWidth="1"/>
    <col min="11820" max="11820" width="43.5" style="121" customWidth="1"/>
    <col min="11821" max="11821" width="44.6640625" style="121" customWidth="1"/>
    <col min="11822" max="12031" width="6.33203125" style="121"/>
    <col min="12032" max="12033" width="2.1640625" style="121" customWidth="1"/>
    <col min="12034" max="12034" width="0" style="121" hidden="1" customWidth="1"/>
    <col min="12035" max="12037" width="12.83203125" style="121" customWidth="1"/>
    <col min="12038" max="12038" width="12" style="121" customWidth="1"/>
    <col min="12039" max="12039" width="12.33203125" style="121" customWidth="1"/>
    <col min="12040" max="12040" width="13.5" style="121" customWidth="1"/>
    <col min="12041" max="12041" width="0" style="121" hidden="1" customWidth="1"/>
    <col min="12042" max="12044" width="13" style="121" customWidth="1"/>
    <col min="12045" max="12045" width="14.83203125" style="121" customWidth="1"/>
    <col min="12046" max="12046" width="13.33203125" style="121" customWidth="1"/>
    <col min="12047" max="12047" width="13.5" style="121" customWidth="1"/>
    <col min="12048" max="12048" width="2.1640625" style="121" customWidth="1"/>
    <col min="12049" max="12049" width="13.83203125" style="121" customWidth="1"/>
    <col min="12050" max="12050" width="10.6640625" style="121" customWidth="1"/>
    <col min="12051" max="12051" width="12" style="121" customWidth="1"/>
    <col min="12052" max="12052" width="11.5" style="121" customWidth="1"/>
    <col min="12053" max="12053" width="16" style="121" customWidth="1"/>
    <col min="12054" max="12055" width="10.6640625" style="121" customWidth="1"/>
    <col min="12056" max="12056" width="15.5" style="121" customWidth="1"/>
    <col min="12057" max="12057" width="11.5" style="121" customWidth="1"/>
    <col min="12058" max="12058" width="12" style="121" customWidth="1"/>
    <col min="12059" max="12059" width="11.5" style="121" customWidth="1"/>
    <col min="12060" max="12060" width="12" style="121" customWidth="1"/>
    <col min="12061" max="12061" width="11.5" style="121" customWidth="1"/>
    <col min="12062" max="12062" width="12.83203125" style="121" customWidth="1"/>
    <col min="12063" max="12063" width="10.6640625" style="121" customWidth="1"/>
    <col min="12064" max="12064" width="19" style="121" customWidth="1"/>
    <col min="12065" max="12065" width="13.33203125" style="121" customWidth="1"/>
    <col min="12066" max="12066" width="18" style="121" customWidth="1"/>
    <col min="12067" max="12067" width="42.5" style="121" customWidth="1"/>
    <col min="12068" max="12068" width="31" style="121" customWidth="1"/>
    <col min="12069" max="12069" width="35" style="121" customWidth="1"/>
    <col min="12070" max="12070" width="31" style="121" customWidth="1"/>
    <col min="12071" max="12071" width="35" style="121" customWidth="1"/>
    <col min="12072" max="12072" width="31" style="121" customWidth="1"/>
    <col min="12073" max="12073" width="37.83203125" style="121" customWidth="1"/>
    <col min="12074" max="12074" width="11.5" style="121" customWidth="1"/>
    <col min="12075" max="12075" width="54" style="121" customWidth="1"/>
    <col min="12076" max="12076" width="43.5" style="121" customWidth="1"/>
    <col min="12077" max="12077" width="44.6640625" style="121" customWidth="1"/>
    <col min="12078" max="12287" width="6.33203125" style="121"/>
    <col min="12288" max="12289" width="2.1640625" style="121" customWidth="1"/>
    <col min="12290" max="12290" width="0" style="121" hidden="1" customWidth="1"/>
    <col min="12291" max="12293" width="12.83203125" style="121" customWidth="1"/>
    <col min="12294" max="12294" width="12" style="121" customWidth="1"/>
    <col min="12295" max="12295" width="12.33203125" style="121" customWidth="1"/>
    <col min="12296" max="12296" width="13.5" style="121" customWidth="1"/>
    <col min="12297" max="12297" width="0" style="121" hidden="1" customWidth="1"/>
    <col min="12298" max="12300" width="13" style="121" customWidth="1"/>
    <col min="12301" max="12301" width="14.83203125" style="121" customWidth="1"/>
    <col min="12302" max="12302" width="13.33203125" style="121" customWidth="1"/>
    <col min="12303" max="12303" width="13.5" style="121" customWidth="1"/>
    <col min="12304" max="12304" width="2.1640625" style="121" customWidth="1"/>
    <col min="12305" max="12305" width="13.83203125" style="121" customWidth="1"/>
    <col min="12306" max="12306" width="10.6640625" style="121" customWidth="1"/>
    <col min="12307" max="12307" width="12" style="121" customWidth="1"/>
    <col min="12308" max="12308" width="11.5" style="121" customWidth="1"/>
    <col min="12309" max="12309" width="16" style="121" customWidth="1"/>
    <col min="12310" max="12311" width="10.6640625" style="121" customWidth="1"/>
    <col min="12312" max="12312" width="15.5" style="121" customWidth="1"/>
    <col min="12313" max="12313" width="11.5" style="121" customWidth="1"/>
    <col min="12314" max="12314" width="12" style="121" customWidth="1"/>
    <col min="12315" max="12315" width="11.5" style="121" customWidth="1"/>
    <col min="12316" max="12316" width="12" style="121" customWidth="1"/>
    <col min="12317" max="12317" width="11.5" style="121" customWidth="1"/>
    <col min="12318" max="12318" width="12.83203125" style="121" customWidth="1"/>
    <col min="12319" max="12319" width="10.6640625" style="121" customWidth="1"/>
    <col min="12320" max="12320" width="19" style="121" customWidth="1"/>
    <col min="12321" max="12321" width="13.33203125" style="121" customWidth="1"/>
    <col min="12322" max="12322" width="18" style="121" customWidth="1"/>
    <col min="12323" max="12323" width="42.5" style="121" customWidth="1"/>
    <col min="12324" max="12324" width="31" style="121" customWidth="1"/>
    <col min="12325" max="12325" width="35" style="121" customWidth="1"/>
    <col min="12326" max="12326" width="31" style="121" customWidth="1"/>
    <col min="12327" max="12327" width="35" style="121" customWidth="1"/>
    <col min="12328" max="12328" width="31" style="121" customWidth="1"/>
    <col min="12329" max="12329" width="37.83203125" style="121" customWidth="1"/>
    <col min="12330" max="12330" width="11.5" style="121" customWidth="1"/>
    <col min="12331" max="12331" width="54" style="121" customWidth="1"/>
    <col min="12332" max="12332" width="43.5" style="121" customWidth="1"/>
    <col min="12333" max="12333" width="44.6640625" style="121" customWidth="1"/>
    <col min="12334" max="12543" width="6.33203125" style="121"/>
    <col min="12544" max="12545" width="2.1640625" style="121" customWidth="1"/>
    <col min="12546" max="12546" width="0" style="121" hidden="1" customWidth="1"/>
    <col min="12547" max="12549" width="12.83203125" style="121" customWidth="1"/>
    <col min="12550" max="12550" width="12" style="121" customWidth="1"/>
    <col min="12551" max="12551" width="12.33203125" style="121" customWidth="1"/>
    <col min="12552" max="12552" width="13.5" style="121" customWidth="1"/>
    <col min="12553" max="12553" width="0" style="121" hidden="1" customWidth="1"/>
    <col min="12554" max="12556" width="13" style="121" customWidth="1"/>
    <col min="12557" max="12557" width="14.83203125" style="121" customWidth="1"/>
    <col min="12558" max="12558" width="13.33203125" style="121" customWidth="1"/>
    <col min="12559" max="12559" width="13.5" style="121" customWidth="1"/>
    <col min="12560" max="12560" width="2.1640625" style="121" customWidth="1"/>
    <col min="12561" max="12561" width="13.83203125" style="121" customWidth="1"/>
    <col min="12562" max="12562" width="10.6640625" style="121" customWidth="1"/>
    <col min="12563" max="12563" width="12" style="121" customWidth="1"/>
    <col min="12564" max="12564" width="11.5" style="121" customWidth="1"/>
    <col min="12565" max="12565" width="16" style="121" customWidth="1"/>
    <col min="12566" max="12567" width="10.6640625" style="121" customWidth="1"/>
    <col min="12568" max="12568" width="15.5" style="121" customWidth="1"/>
    <col min="12569" max="12569" width="11.5" style="121" customWidth="1"/>
    <col min="12570" max="12570" width="12" style="121" customWidth="1"/>
    <col min="12571" max="12571" width="11.5" style="121" customWidth="1"/>
    <col min="12572" max="12572" width="12" style="121" customWidth="1"/>
    <col min="12573" max="12573" width="11.5" style="121" customWidth="1"/>
    <col min="12574" max="12574" width="12.83203125" style="121" customWidth="1"/>
    <col min="12575" max="12575" width="10.6640625" style="121" customWidth="1"/>
    <col min="12576" max="12576" width="19" style="121" customWidth="1"/>
    <col min="12577" max="12577" width="13.33203125" style="121" customWidth="1"/>
    <col min="12578" max="12578" width="18" style="121" customWidth="1"/>
    <col min="12579" max="12579" width="42.5" style="121" customWidth="1"/>
    <col min="12580" max="12580" width="31" style="121" customWidth="1"/>
    <col min="12581" max="12581" width="35" style="121" customWidth="1"/>
    <col min="12582" max="12582" width="31" style="121" customWidth="1"/>
    <col min="12583" max="12583" width="35" style="121" customWidth="1"/>
    <col min="12584" max="12584" width="31" style="121" customWidth="1"/>
    <col min="12585" max="12585" width="37.83203125" style="121" customWidth="1"/>
    <col min="12586" max="12586" width="11.5" style="121" customWidth="1"/>
    <col min="12587" max="12587" width="54" style="121" customWidth="1"/>
    <col min="12588" max="12588" width="43.5" style="121" customWidth="1"/>
    <col min="12589" max="12589" width="44.6640625" style="121" customWidth="1"/>
    <col min="12590" max="12799" width="6.33203125" style="121"/>
    <col min="12800" max="12801" width="2.1640625" style="121" customWidth="1"/>
    <col min="12802" max="12802" width="0" style="121" hidden="1" customWidth="1"/>
    <col min="12803" max="12805" width="12.83203125" style="121" customWidth="1"/>
    <col min="12806" max="12806" width="12" style="121" customWidth="1"/>
    <col min="12807" max="12807" width="12.33203125" style="121" customWidth="1"/>
    <col min="12808" max="12808" width="13.5" style="121" customWidth="1"/>
    <col min="12809" max="12809" width="0" style="121" hidden="1" customWidth="1"/>
    <col min="12810" max="12812" width="13" style="121" customWidth="1"/>
    <col min="12813" max="12813" width="14.83203125" style="121" customWidth="1"/>
    <col min="12814" max="12814" width="13.33203125" style="121" customWidth="1"/>
    <col min="12815" max="12815" width="13.5" style="121" customWidth="1"/>
    <col min="12816" max="12816" width="2.1640625" style="121" customWidth="1"/>
    <col min="12817" max="12817" width="13.83203125" style="121" customWidth="1"/>
    <col min="12818" max="12818" width="10.6640625" style="121" customWidth="1"/>
    <col min="12819" max="12819" width="12" style="121" customWidth="1"/>
    <col min="12820" max="12820" width="11.5" style="121" customWidth="1"/>
    <col min="12821" max="12821" width="16" style="121" customWidth="1"/>
    <col min="12822" max="12823" width="10.6640625" style="121" customWidth="1"/>
    <col min="12824" max="12824" width="15.5" style="121" customWidth="1"/>
    <col min="12825" max="12825" width="11.5" style="121" customWidth="1"/>
    <col min="12826" max="12826" width="12" style="121" customWidth="1"/>
    <col min="12827" max="12827" width="11.5" style="121" customWidth="1"/>
    <col min="12828" max="12828" width="12" style="121" customWidth="1"/>
    <col min="12829" max="12829" width="11.5" style="121" customWidth="1"/>
    <col min="12830" max="12830" width="12.83203125" style="121" customWidth="1"/>
    <col min="12831" max="12831" width="10.6640625" style="121" customWidth="1"/>
    <col min="12832" max="12832" width="19" style="121" customWidth="1"/>
    <col min="12833" max="12833" width="13.33203125" style="121" customWidth="1"/>
    <col min="12834" max="12834" width="18" style="121" customWidth="1"/>
    <col min="12835" max="12835" width="42.5" style="121" customWidth="1"/>
    <col min="12836" max="12836" width="31" style="121" customWidth="1"/>
    <col min="12837" max="12837" width="35" style="121" customWidth="1"/>
    <col min="12838" max="12838" width="31" style="121" customWidth="1"/>
    <col min="12839" max="12839" width="35" style="121" customWidth="1"/>
    <col min="12840" max="12840" width="31" style="121" customWidth="1"/>
    <col min="12841" max="12841" width="37.83203125" style="121" customWidth="1"/>
    <col min="12842" max="12842" width="11.5" style="121" customWidth="1"/>
    <col min="12843" max="12843" width="54" style="121" customWidth="1"/>
    <col min="12844" max="12844" width="43.5" style="121" customWidth="1"/>
    <col min="12845" max="12845" width="44.6640625" style="121" customWidth="1"/>
    <col min="12846" max="13055" width="6.33203125" style="121"/>
    <col min="13056" max="13057" width="2.1640625" style="121" customWidth="1"/>
    <col min="13058" max="13058" width="0" style="121" hidden="1" customWidth="1"/>
    <col min="13059" max="13061" width="12.83203125" style="121" customWidth="1"/>
    <col min="13062" max="13062" width="12" style="121" customWidth="1"/>
    <col min="13063" max="13063" width="12.33203125" style="121" customWidth="1"/>
    <col min="13064" max="13064" width="13.5" style="121" customWidth="1"/>
    <col min="13065" max="13065" width="0" style="121" hidden="1" customWidth="1"/>
    <col min="13066" max="13068" width="13" style="121" customWidth="1"/>
    <col min="13069" max="13069" width="14.83203125" style="121" customWidth="1"/>
    <col min="13070" max="13070" width="13.33203125" style="121" customWidth="1"/>
    <col min="13071" max="13071" width="13.5" style="121" customWidth="1"/>
    <col min="13072" max="13072" width="2.1640625" style="121" customWidth="1"/>
    <col min="13073" max="13073" width="13.83203125" style="121" customWidth="1"/>
    <col min="13074" max="13074" width="10.6640625" style="121" customWidth="1"/>
    <col min="13075" max="13075" width="12" style="121" customWidth="1"/>
    <col min="13076" max="13076" width="11.5" style="121" customWidth="1"/>
    <col min="13077" max="13077" width="16" style="121" customWidth="1"/>
    <col min="13078" max="13079" width="10.6640625" style="121" customWidth="1"/>
    <col min="13080" max="13080" width="15.5" style="121" customWidth="1"/>
    <col min="13081" max="13081" width="11.5" style="121" customWidth="1"/>
    <col min="13082" max="13082" width="12" style="121" customWidth="1"/>
    <col min="13083" max="13083" width="11.5" style="121" customWidth="1"/>
    <col min="13084" max="13084" width="12" style="121" customWidth="1"/>
    <col min="13085" max="13085" width="11.5" style="121" customWidth="1"/>
    <col min="13086" max="13086" width="12.83203125" style="121" customWidth="1"/>
    <col min="13087" max="13087" width="10.6640625" style="121" customWidth="1"/>
    <col min="13088" max="13088" width="19" style="121" customWidth="1"/>
    <col min="13089" max="13089" width="13.33203125" style="121" customWidth="1"/>
    <col min="13090" max="13090" width="18" style="121" customWidth="1"/>
    <col min="13091" max="13091" width="42.5" style="121" customWidth="1"/>
    <col min="13092" max="13092" width="31" style="121" customWidth="1"/>
    <col min="13093" max="13093" width="35" style="121" customWidth="1"/>
    <col min="13094" max="13094" width="31" style="121" customWidth="1"/>
    <col min="13095" max="13095" width="35" style="121" customWidth="1"/>
    <col min="13096" max="13096" width="31" style="121" customWidth="1"/>
    <col min="13097" max="13097" width="37.83203125" style="121" customWidth="1"/>
    <col min="13098" max="13098" width="11.5" style="121" customWidth="1"/>
    <col min="13099" max="13099" width="54" style="121" customWidth="1"/>
    <col min="13100" max="13100" width="43.5" style="121" customWidth="1"/>
    <col min="13101" max="13101" width="44.6640625" style="121" customWidth="1"/>
    <col min="13102" max="13311" width="6.33203125" style="121"/>
    <col min="13312" max="13313" width="2.1640625" style="121" customWidth="1"/>
    <col min="13314" max="13314" width="0" style="121" hidden="1" customWidth="1"/>
    <col min="13315" max="13317" width="12.83203125" style="121" customWidth="1"/>
    <col min="13318" max="13318" width="12" style="121" customWidth="1"/>
    <col min="13319" max="13319" width="12.33203125" style="121" customWidth="1"/>
    <col min="13320" max="13320" width="13.5" style="121" customWidth="1"/>
    <col min="13321" max="13321" width="0" style="121" hidden="1" customWidth="1"/>
    <col min="13322" max="13324" width="13" style="121" customWidth="1"/>
    <col min="13325" max="13325" width="14.83203125" style="121" customWidth="1"/>
    <col min="13326" max="13326" width="13.33203125" style="121" customWidth="1"/>
    <col min="13327" max="13327" width="13.5" style="121" customWidth="1"/>
    <col min="13328" max="13328" width="2.1640625" style="121" customWidth="1"/>
    <col min="13329" max="13329" width="13.83203125" style="121" customWidth="1"/>
    <col min="13330" max="13330" width="10.6640625" style="121" customWidth="1"/>
    <col min="13331" max="13331" width="12" style="121" customWidth="1"/>
    <col min="13332" max="13332" width="11.5" style="121" customWidth="1"/>
    <col min="13333" max="13333" width="16" style="121" customWidth="1"/>
    <col min="13334" max="13335" width="10.6640625" style="121" customWidth="1"/>
    <col min="13336" max="13336" width="15.5" style="121" customWidth="1"/>
    <col min="13337" max="13337" width="11.5" style="121" customWidth="1"/>
    <col min="13338" max="13338" width="12" style="121" customWidth="1"/>
    <col min="13339" max="13339" width="11.5" style="121" customWidth="1"/>
    <col min="13340" max="13340" width="12" style="121" customWidth="1"/>
    <col min="13341" max="13341" width="11.5" style="121" customWidth="1"/>
    <col min="13342" max="13342" width="12.83203125" style="121" customWidth="1"/>
    <col min="13343" max="13343" width="10.6640625" style="121" customWidth="1"/>
    <col min="13344" max="13344" width="19" style="121" customWidth="1"/>
    <col min="13345" max="13345" width="13.33203125" style="121" customWidth="1"/>
    <col min="13346" max="13346" width="18" style="121" customWidth="1"/>
    <col min="13347" max="13347" width="42.5" style="121" customWidth="1"/>
    <col min="13348" max="13348" width="31" style="121" customWidth="1"/>
    <col min="13349" max="13349" width="35" style="121" customWidth="1"/>
    <col min="13350" max="13350" width="31" style="121" customWidth="1"/>
    <col min="13351" max="13351" width="35" style="121" customWidth="1"/>
    <col min="13352" max="13352" width="31" style="121" customWidth="1"/>
    <col min="13353" max="13353" width="37.83203125" style="121" customWidth="1"/>
    <col min="13354" max="13354" width="11.5" style="121" customWidth="1"/>
    <col min="13355" max="13355" width="54" style="121" customWidth="1"/>
    <col min="13356" max="13356" width="43.5" style="121" customWidth="1"/>
    <col min="13357" max="13357" width="44.6640625" style="121" customWidth="1"/>
    <col min="13358" max="13567" width="6.33203125" style="121"/>
    <col min="13568" max="13569" width="2.1640625" style="121" customWidth="1"/>
    <col min="13570" max="13570" width="0" style="121" hidden="1" customWidth="1"/>
    <col min="13571" max="13573" width="12.83203125" style="121" customWidth="1"/>
    <col min="13574" max="13574" width="12" style="121" customWidth="1"/>
    <col min="13575" max="13575" width="12.33203125" style="121" customWidth="1"/>
    <col min="13576" max="13576" width="13.5" style="121" customWidth="1"/>
    <col min="13577" max="13577" width="0" style="121" hidden="1" customWidth="1"/>
    <col min="13578" max="13580" width="13" style="121" customWidth="1"/>
    <col min="13581" max="13581" width="14.83203125" style="121" customWidth="1"/>
    <col min="13582" max="13582" width="13.33203125" style="121" customWidth="1"/>
    <col min="13583" max="13583" width="13.5" style="121" customWidth="1"/>
    <col min="13584" max="13584" width="2.1640625" style="121" customWidth="1"/>
    <col min="13585" max="13585" width="13.83203125" style="121" customWidth="1"/>
    <col min="13586" max="13586" width="10.6640625" style="121" customWidth="1"/>
    <col min="13587" max="13587" width="12" style="121" customWidth="1"/>
    <col min="13588" max="13588" width="11.5" style="121" customWidth="1"/>
    <col min="13589" max="13589" width="16" style="121" customWidth="1"/>
    <col min="13590" max="13591" width="10.6640625" style="121" customWidth="1"/>
    <col min="13592" max="13592" width="15.5" style="121" customWidth="1"/>
    <col min="13593" max="13593" width="11.5" style="121" customWidth="1"/>
    <col min="13594" max="13594" width="12" style="121" customWidth="1"/>
    <col min="13595" max="13595" width="11.5" style="121" customWidth="1"/>
    <col min="13596" max="13596" width="12" style="121" customWidth="1"/>
    <col min="13597" max="13597" width="11.5" style="121" customWidth="1"/>
    <col min="13598" max="13598" width="12.83203125" style="121" customWidth="1"/>
    <col min="13599" max="13599" width="10.6640625" style="121" customWidth="1"/>
    <col min="13600" max="13600" width="19" style="121" customWidth="1"/>
    <col min="13601" max="13601" width="13.33203125" style="121" customWidth="1"/>
    <col min="13602" max="13602" width="18" style="121" customWidth="1"/>
    <col min="13603" max="13603" width="42.5" style="121" customWidth="1"/>
    <col min="13604" max="13604" width="31" style="121" customWidth="1"/>
    <col min="13605" max="13605" width="35" style="121" customWidth="1"/>
    <col min="13606" max="13606" width="31" style="121" customWidth="1"/>
    <col min="13607" max="13607" width="35" style="121" customWidth="1"/>
    <col min="13608" max="13608" width="31" style="121" customWidth="1"/>
    <col min="13609" max="13609" width="37.83203125" style="121" customWidth="1"/>
    <col min="13610" max="13610" width="11.5" style="121" customWidth="1"/>
    <col min="13611" max="13611" width="54" style="121" customWidth="1"/>
    <col min="13612" max="13612" width="43.5" style="121" customWidth="1"/>
    <col min="13613" max="13613" width="44.6640625" style="121" customWidth="1"/>
    <col min="13614" max="13823" width="6.33203125" style="121"/>
    <col min="13824" max="13825" width="2.1640625" style="121" customWidth="1"/>
    <col min="13826" max="13826" width="0" style="121" hidden="1" customWidth="1"/>
    <col min="13827" max="13829" width="12.83203125" style="121" customWidth="1"/>
    <col min="13830" max="13830" width="12" style="121" customWidth="1"/>
    <col min="13831" max="13831" width="12.33203125" style="121" customWidth="1"/>
    <col min="13832" max="13832" width="13.5" style="121" customWidth="1"/>
    <col min="13833" max="13833" width="0" style="121" hidden="1" customWidth="1"/>
    <col min="13834" max="13836" width="13" style="121" customWidth="1"/>
    <col min="13837" max="13837" width="14.83203125" style="121" customWidth="1"/>
    <col min="13838" max="13838" width="13.33203125" style="121" customWidth="1"/>
    <col min="13839" max="13839" width="13.5" style="121" customWidth="1"/>
    <col min="13840" max="13840" width="2.1640625" style="121" customWidth="1"/>
    <col min="13841" max="13841" width="13.83203125" style="121" customWidth="1"/>
    <col min="13842" max="13842" width="10.6640625" style="121" customWidth="1"/>
    <col min="13843" max="13843" width="12" style="121" customWidth="1"/>
    <col min="13844" max="13844" width="11.5" style="121" customWidth="1"/>
    <col min="13845" max="13845" width="16" style="121" customWidth="1"/>
    <col min="13846" max="13847" width="10.6640625" style="121" customWidth="1"/>
    <col min="13848" max="13848" width="15.5" style="121" customWidth="1"/>
    <col min="13849" max="13849" width="11.5" style="121" customWidth="1"/>
    <col min="13850" max="13850" width="12" style="121" customWidth="1"/>
    <col min="13851" max="13851" width="11.5" style="121" customWidth="1"/>
    <col min="13852" max="13852" width="12" style="121" customWidth="1"/>
    <col min="13853" max="13853" width="11.5" style="121" customWidth="1"/>
    <col min="13854" max="13854" width="12.83203125" style="121" customWidth="1"/>
    <col min="13855" max="13855" width="10.6640625" style="121" customWidth="1"/>
    <col min="13856" max="13856" width="19" style="121" customWidth="1"/>
    <col min="13857" max="13857" width="13.33203125" style="121" customWidth="1"/>
    <col min="13858" max="13858" width="18" style="121" customWidth="1"/>
    <col min="13859" max="13859" width="42.5" style="121" customWidth="1"/>
    <col min="13860" max="13860" width="31" style="121" customWidth="1"/>
    <col min="13861" max="13861" width="35" style="121" customWidth="1"/>
    <col min="13862" max="13862" width="31" style="121" customWidth="1"/>
    <col min="13863" max="13863" width="35" style="121" customWidth="1"/>
    <col min="13864" max="13864" width="31" style="121" customWidth="1"/>
    <col min="13865" max="13865" width="37.83203125" style="121" customWidth="1"/>
    <col min="13866" max="13866" width="11.5" style="121" customWidth="1"/>
    <col min="13867" max="13867" width="54" style="121" customWidth="1"/>
    <col min="13868" max="13868" width="43.5" style="121" customWidth="1"/>
    <col min="13869" max="13869" width="44.6640625" style="121" customWidth="1"/>
    <col min="13870" max="14079" width="6.33203125" style="121"/>
    <col min="14080" max="14081" width="2.1640625" style="121" customWidth="1"/>
    <col min="14082" max="14082" width="0" style="121" hidden="1" customWidth="1"/>
    <col min="14083" max="14085" width="12.83203125" style="121" customWidth="1"/>
    <col min="14086" max="14086" width="12" style="121" customWidth="1"/>
    <col min="14087" max="14087" width="12.33203125" style="121" customWidth="1"/>
    <col min="14088" max="14088" width="13.5" style="121" customWidth="1"/>
    <col min="14089" max="14089" width="0" style="121" hidden="1" customWidth="1"/>
    <col min="14090" max="14092" width="13" style="121" customWidth="1"/>
    <col min="14093" max="14093" width="14.83203125" style="121" customWidth="1"/>
    <col min="14094" max="14094" width="13.33203125" style="121" customWidth="1"/>
    <col min="14095" max="14095" width="13.5" style="121" customWidth="1"/>
    <col min="14096" max="14096" width="2.1640625" style="121" customWidth="1"/>
    <col min="14097" max="14097" width="13.83203125" style="121" customWidth="1"/>
    <col min="14098" max="14098" width="10.6640625" style="121" customWidth="1"/>
    <col min="14099" max="14099" width="12" style="121" customWidth="1"/>
    <col min="14100" max="14100" width="11.5" style="121" customWidth="1"/>
    <col min="14101" max="14101" width="16" style="121" customWidth="1"/>
    <col min="14102" max="14103" width="10.6640625" style="121" customWidth="1"/>
    <col min="14104" max="14104" width="15.5" style="121" customWidth="1"/>
    <col min="14105" max="14105" width="11.5" style="121" customWidth="1"/>
    <col min="14106" max="14106" width="12" style="121" customWidth="1"/>
    <col min="14107" max="14107" width="11.5" style="121" customWidth="1"/>
    <col min="14108" max="14108" width="12" style="121" customWidth="1"/>
    <col min="14109" max="14109" width="11.5" style="121" customWidth="1"/>
    <col min="14110" max="14110" width="12.83203125" style="121" customWidth="1"/>
    <col min="14111" max="14111" width="10.6640625" style="121" customWidth="1"/>
    <col min="14112" max="14112" width="19" style="121" customWidth="1"/>
    <col min="14113" max="14113" width="13.33203125" style="121" customWidth="1"/>
    <col min="14114" max="14114" width="18" style="121" customWidth="1"/>
    <col min="14115" max="14115" width="42.5" style="121" customWidth="1"/>
    <col min="14116" max="14116" width="31" style="121" customWidth="1"/>
    <col min="14117" max="14117" width="35" style="121" customWidth="1"/>
    <col min="14118" max="14118" width="31" style="121" customWidth="1"/>
    <col min="14119" max="14119" width="35" style="121" customWidth="1"/>
    <col min="14120" max="14120" width="31" style="121" customWidth="1"/>
    <col min="14121" max="14121" width="37.83203125" style="121" customWidth="1"/>
    <col min="14122" max="14122" width="11.5" style="121" customWidth="1"/>
    <col min="14123" max="14123" width="54" style="121" customWidth="1"/>
    <col min="14124" max="14124" width="43.5" style="121" customWidth="1"/>
    <col min="14125" max="14125" width="44.6640625" style="121" customWidth="1"/>
    <col min="14126" max="14335" width="6.33203125" style="121"/>
    <col min="14336" max="14337" width="2.1640625" style="121" customWidth="1"/>
    <col min="14338" max="14338" width="0" style="121" hidden="1" customWidth="1"/>
    <col min="14339" max="14341" width="12.83203125" style="121" customWidth="1"/>
    <col min="14342" max="14342" width="12" style="121" customWidth="1"/>
    <col min="14343" max="14343" width="12.33203125" style="121" customWidth="1"/>
    <col min="14344" max="14344" width="13.5" style="121" customWidth="1"/>
    <col min="14345" max="14345" width="0" style="121" hidden="1" customWidth="1"/>
    <col min="14346" max="14348" width="13" style="121" customWidth="1"/>
    <col min="14349" max="14349" width="14.83203125" style="121" customWidth="1"/>
    <col min="14350" max="14350" width="13.33203125" style="121" customWidth="1"/>
    <col min="14351" max="14351" width="13.5" style="121" customWidth="1"/>
    <col min="14352" max="14352" width="2.1640625" style="121" customWidth="1"/>
    <col min="14353" max="14353" width="13.83203125" style="121" customWidth="1"/>
    <col min="14354" max="14354" width="10.6640625" style="121" customWidth="1"/>
    <col min="14355" max="14355" width="12" style="121" customWidth="1"/>
    <col min="14356" max="14356" width="11.5" style="121" customWidth="1"/>
    <col min="14357" max="14357" width="16" style="121" customWidth="1"/>
    <col min="14358" max="14359" width="10.6640625" style="121" customWidth="1"/>
    <col min="14360" max="14360" width="15.5" style="121" customWidth="1"/>
    <col min="14361" max="14361" width="11.5" style="121" customWidth="1"/>
    <col min="14362" max="14362" width="12" style="121" customWidth="1"/>
    <col min="14363" max="14363" width="11.5" style="121" customWidth="1"/>
    <col min="14364" max="14364" width="12" style="121" customWidth="1"/>
    <col min="14365" max="14365" width="11.5" style="121" customWidth="1"/>
    <col min="14366" max="14366" width="12.83203125" style="121" customWidth="1"/>
    <col min="14367" max="14367" width="10.6640625" style="121" customWidth="1"/>
    <col min="14368" max="14368" width="19" style="121" customWidth="1"/>
    <col min="14369" max="14369" width="13.33203125" style="121" customWidth="1"/>
    <col min="14370" max="14370" width="18" style="121" customWidth="1"/>
    <col min="14371" max="14371" width="42.5" style="121" customWidth="1"/>
    <col min="14372" max="14372" width="31" style="121" customWidth="1"/>
    <col min="14373" max="14373" width="35" style="121" customWidth="1"/>
    <col min="14374" max="14374" width="31" style="121" customWidth="1"/>
    <col min="14375" max="14375" width="35" style="121" customWidth="1"/>
    <col min="14376" max="14376" width="31" style="121" customWidth="1"/>
    <col min="14377" max="14377" width="37.83203125" style="121" customWidth="1"/>
    <col min="14378" max="14378" width="11.5" style="121" customWidth="1"/>
    <col min="14379" max="14379" width="54" style="121" customWidth="1"/>
    <col min="14380" max="14380" width="43.5" style="121" customWidth="1"/>
    <col min="14381" max="14381" width="44.6640625" style="121" customWidth="1"/>
    <col min="14382" max="14591" width="6.33203125" style="121"/>
    <col min="14592" max="14593" width="2.1640625" style="121" customWidth="1"/>
    <col min="14594" max="14594" width="0" style="121" hidden="1" customWidth="1"/>
    <col min="14595" max="14597" width="12.83203125" style="121" customWidth="1"/>
    <col min="14598" max="14598" width="12" style="121" customWidth="1"/>
    <col min="14599" max="14599" width="12.33203125" style="121" customWidth="1"/>
    <col min="14600" max="14600" width="13.5" style="121" customWidth="1"/>
    <col min="14601" max="14601" width="0" style="121" hidden="1" customWidth="1"/>
    <col min="14602" max="14604" width="13" style="121" customWidth="1"/>
    <col min="14605" max="14605" width="14.83203125" style="121" customWidth="1"/>
    <col min="14606" max="14606" width="13.33203125" style="121" customWidth="1"/>
    <col min="14607" max="14607" width="13.5" style="121" customWidth="1"/>
    <col min="14608" max="14608" width="2.1640625" style="121" customWidth="1"/>
    <col min="14609" max="14609" width="13.83203125" style="121" customWidth="1"/>
    <col min="14610" max="14610" width="10.6640625" style="121" customWidth="1"/>
    <col min="14611" max="14611" width="12" style="121" customWidth="1"/>
    <col min="14612" max="14612" width="11.5" style="121" customWidth="1"/>
    <col min="14613" max="14613" width="16" style="121" customWidth="1"/>
    <col min="14614" max="14615" width="10.6640625" style="121" customWidth="1"/>
    <col min="14616" max="14616" width="15.5" style="121" customWidth="1"/>
    <col min="14617" max="14617" width="11.5" style="121" customWidth="1"/>
    <col min="14618" max="14618" width="12" style="121" customWidth="1"/>
    <col min="14619" max="14619" width="11.5" style="121" customWidth="1"/>
    <col min="14620" max="14620" width="12" style="121" customWidth="1"/>
    <col min="14621" max="14621" width="11.5" style="121" customWidth="1"/>
    <col min="14622" max="14622" width="12.83203125" style="121" customWidth="1"/>
    <col min="14623" max="14623" width="10.6640625" style="121" customWidth="1"/>
    <col min="14624" max="14624" width="19" style="121" customWidth="1"/>
    <col min="14625" max="14625" width="13.33203125" style="121" customWidth="1"/>
    <col min="14626" max="14626" width="18" style="121" customWidth="1"/>
    <col min="14627" max="14627" width="42.5" style="121" customWidth="1"/>
    <col min="14628" max="14628" width="31" style="121" customWidth="1"/>
    <col min="14629" max="14629" width="35" style="121" customWidth="1"/>
    <col min="14630" max="14630" width="31" style="121" customWidth="1"/>
    <col min="14631" max="14631" width="35" style="121" customWidth="1"/>
    <col min="14632" max="14632" width="31" style="121" customWidth="1"/>
    <col min="14633" max="14633" width="37.83203125" style="121" customWidth="1"/>
    <col min="14634" max="14634" width="11.5" style="121" customWidth="1"/>
    <col min="14635" max="14635" width="54" style="121" customWidth="1"/>
    <col min="14636" max="14636" width="43.5" style="121" customWidth="1"/>
    <col min="14637" max="14637" width="44.6640625" style="121" customWidth="1"/>
    <col min="14638" max="14847" width="6.33203125" style="121"/>
    <col min="14848" max="14849" width="2.1640625" style="121" customWidth="1"/>
    <col min="14850" max="14850" width="0" style="121" hidden="1" customWidth="1"/>
    <col min="14851" max="14853" width="12.83203125" style="121" customWidth="1"/>
    <col min="14854" max="14854" width="12" style="121" customWidth="1"/>
    <col min="14855" max="14855" width="12.33203125" style="121" customWidth="1"/>
    <col min="14856" max="14856" width="13.5" style="121" customWidth="1"/>
    <col min="14857" max="14857" width="0" style="121" hidden="1" customWidth="1"/>
    <col min="14858" max="14860" width="13" style="121" customWidth="1"/>
    <col min="14861" max="14861" width="14.83203125" style="121" customWidth="1"/>
    <col min="14862" max="14862" width="13.33203125" style="121" customWidth="1"/>
    <col min="14863" max="14863" width="13.5" style="121" customWidth="1"/>
    <col min="14864" max="14864" width="2.1640625" style="121" customWidth="1"/>
    <col min="14865" max="14865" width="13.83203125" style="121" customWidth="1"/>
    <col min="14866" max="14866" width="10.6640625" style="121" customWidth="1"/>
    <col min="14867" max="14867" width="12" style="121" customWidth="1"/>
    <col min="14868" max="14868" width="11.5" style="121" customWidth="1"/>
    <col min="14869" max="14869" width="16" style="121" customWidth="1"/>
    <col min="14870" max="14871" width="10.6640625" style="121" customWidth="1"/>
    <col min="14872" max="14872" width="15.5" style="121" customWidth="1"/>
    <col min="14873" max="14873" width="11.5" style="121" customWidth="1"/>
    <col min="14874" max="14874" width="12" style="121" customWidth="1"/>
    <col min="14875" max="14875" width="11.5" style="121" customWidth="1"/>
    <col min="14876" max="14876" width="12" style="121" customWidth="1"/>
    <col min="14877" max="14877" width="11.5" style="121" customWidth="1"/>
    <col min="14878" max="14878" width="12.83203125" style="121" customWidth="1"/>
    <col min="14879" max="14879" width="10.6640625" style="121" customWidth="1"/>
    <col min="14880" max="14880" width="19" style="121" customWidth="1"/>
    <col min="14881" max="14881" width="13.33203125" style="121" customWidth="1"/>
    <col min="14882" max="14882" width="18" style="121" customWidth="1"/>
    <col min="14883" max="14883" width="42.5" style="121" customWidth="1"/>
    <col min="14884" max="14884" width="31" style="121" customWidth="1"/>
    <col min="14885" max="14885" width="35" style="121" customWidth="1"/>
    <col min="14886" max="14886" width="31" style="121" customWidth="1"/>
    <col min="14887" max="14887" width="35" style="121" customWidth="1"/>
    <col min="14888" max="14888" width="31" style="121" customWidth="1"/>
    <col min="14889" max="14889" width="37.83203125" style="121" customWidth="1"/>
    <col min="14890" max="14890" width="11.5" style="121" customWidth="1"/>
    <col min="14891" max="14891" width="54" style="121" customWidth="1"/>
    <col min="14892" max="14892" width="43.5" style="121" customWidth="1"/>
    <col min="14893" max="14893" width="44.6640625" style="121" customWidth="1"/>
    <col min="14894" max="15103" width="6.33203125" style="121"/>
    <col min="15104" max="15105" width="2.1640625" style="121" customWidth="1"/>
    <col min="15106" max="15106" width="0" style="121" hidden="1" customWidth="1"/>
    <col min="15107" max="15109" width="12.83203125" style="121" customWidth="1"/>
    <col min="15110" max="15110" width="12" style="121" customWidth="1"/>
    <col min="15111" max="15111" width="12.33203125" style="121" customWidth="1"/>
    <col min="15112" max="15112" width="13.5" style="121" customWidth="1"/>
    <col min="15113" max="15113" width="0" style="121" hidden="1" customWidth="1"/>
    <col min="15114" max="15116" width="13" style="121" customWidth="1"/>
    <col min="15117" max="15117" width="14.83203125" style="121" customWidth="1"/>
    <col min="15118" max="15118" width="13.33203125" style="121" customWidth="1"/>
    <col min="15119" max="15119" width="13.5" style="121" customWidth="1"/>
    <col min="15120" max="15120" width="2.1640625" style="121" customWidth="1"/>
    <col min="15121" max="15121" width="13.83203125" style="121" customWidth="1"/>
    <col min="15122" max="15122" width="10.6640625" style="121" customWidth="1"/>
    <col min="15123" max="15123" width="12" style="121" customWidth="1"/>
    <col min="15124" max="15124" width="11.5" style="121" customWidth="1"/>
    <col min="15125" max="15125" width="16" style="121" customWidth="1"/>
    <col min="15126" max="15127" width="10.6640625" style="121" customWidth="1"/>
    <col min="15128" max="15128" width="15.5" style="121" customWidth="1"/>
    <col min="15129" max="15129" width="11.5" style="121" customWidth="1"/>
    <col min="15130" max="15130" width="12" style="121" customWidth="1"/>
    <col min="15131" max="15131" width="11.5" style="121" customWidth="1"/>
    <col min="15132" max="15132" width="12" style="121" customWidth="1"/>
    <col min="15133" max="15133" width="11.5" style="121" customWidth="1"/>
    <col min="15134" max="15134" width="12.83203125" style="121" customWidth="1"/>
    <col min="15135" max="15135" width="10.6640625" style="121" customWidth="1"/>
    <col min="15136" max="15136" width="19" style="121" customWidth="1"/>
    <col min="15137" max="15137" width="13.33203125" style="121" customWidth="1"/>
    <col min="15138" max="15138" width="18" style="121" customWidth="1"/>
    <col min="15139" max="15139" width="42.5" style="121" customWidth="1"/>
    <col min="15140" max="15140" width="31" style="121" customWidth="1"/>
    <col min="15141" max="15141" width="35" style="121" customWidth="1"/>
    <col min="15142" max="15142" width="31" style="121" customWidth="1"/>
    <col min="15143" max="15143" width="35" style="121" customWidth="1"/>
    <col min="15144" max="15144" width="31" style="121" customWidth="1"/>
    <col min="15145" max="15145" width="37.83203125" style="121" customWidth="1"/>
    <col min="15146" max="15146" width="11.5" style="121" customWidth="1"/>
    <col min="15147" max="15147" width="54" style="121" customWidth="1"/>
    <col min="15148" max="15148" width="43.5" style="121" customWidth="1"/>
    <col min="15149" max="15149" width="44.6640625" style="121" customWidth="1"/>
    <col min="15150" max="15359" width="6.33203125" style="121"/>
    <col min="15360" max="15361" width="2.1640625" style="121" customWidth="1"/>
    <col min="15362" max="15362" width="0" style="121" hidden="1" customWidth="1"/>
    <col min="15363" max="15365" width="12.83203125" style="121" customWidth="1"/>
    <col min="15366" max="15366" width="12" style="121" customWidth="1"/>
    <col min="15367" max="15367" width="12.33203125" style="121" customWidth="1"/>
    <col min="15368" max="15368" width="13.5" style="121" customWidth="1"/>
    <col min="15369" max="15369" width="0" style="121" hidden="1" customWidth="1"/>
    <col min="15370" max="15372" width="13" style="121" customWidth="1"/>
    <col min="15373" max="15373" width="14.83203125" style="121" customWidth="1"/>
    <col min="15374" max="15374" width="13.33203125" style="121" customWidth="1"/>
    <col min="15375" max="15375" width="13.5" style="121" customWidth="1"/>
    <col min="15376" max="15376" width="2.1640625" style="121" customWidth="1"/>
    <col min="15377" max="15377" width="13.83203125" style="121" customWidth="1"/>
    <col min="15378" max="15378" width="10.6640625" style="121" customWidth="1"/>
    <col min="15379" max="15379" width="12" style="121" customWidth="1"/>
    <col min="15380" max="15380" width="11.5" style="121" customWidth="1"/>
    <col min="15381" max="15381" width="16" style="121" customWidth="1"/>
    <col min="15382" max="15383" width="10.6640625" style="121" customWidth="1"/>
    <col min="15384" max="15384" width="15.5" style="121" customWidth="1"/>
    <col min="15385" max="15385" width="11.5" style="121" customWidth="1"/>
    <col min="15386" max="15386" width="12" style="121" customWidth="1"/>
    <col min="15387" max="15387" width="11.5" style="121" customWidth="1"/>
    <col min="15388" max="15388" width="12" style="121" customWidth="1"/>
    <col min="15389" max="15389" width="11.5" style="121" customWidth="1"/>
    <col min="15390" max="15390" width="12.83203125" style="121" customWidth="1"/>
    <col min="15391" max="15391" width="10.6640625" style="121" customWidth="1"/>
    <col min="15392" max="15392" width="19" style="121" customWidth="1"/>
    <col min="15393" max="15393" width="13.33203125" style="121" customWidth="1"/>
    <col min="15394" max="15394" width="18" style="121" customWidth="1"/>
    <col min="15395" max="15395" width="42.5" style="121" customWidth="1"/>
    <col min="15396" max="15396" width="31" style="121" customWidth="1"/>
    <col min="15397" max="15397" width="35" style="121" customWidth="1"/>
    <col min="15398" max="15398" width="31" style="121" customWidth="1"/>
    <col min="15399" max="15399" width="35" style="121" customWidth="1"/>
    <col min="15400" max="15400" width="31" style="121" customWidth="1"/>
    <col min="15401" max="15401" width="37.83203125" style="121" customWidth="1"/>
    <col min="15402" max="15402" width="11.5" style="121" customWidth="1"/>
    <col min="15403" max="15403" width="54" style="121" customWidth="1"/>
    <col min="15404" max="15404" width="43.5" style="121" customWidth="1"/>
    <col min="15405" max="15405" width="44.6640625" style="121" customWidth="1"/>
    <col min="15406" max="15615" width="6.33203125" style="121"/>
    <col min="15616" max="15617" width="2.1640625" style="121" customWidth="1"/>
    <col min="15618" max="15618" width="0" style="121" hidden="1" customWidth="1"/>
    <col min="15619" max="15621" width="12.83203125" style="121" customWidth="1"/>
    <col min="15622" max="15622" width="12" style="121" customWidth="1"/>
    <col min="15623" max="15623" width="12.33203125" style="121" customWidth="1"/>
    <col min="15624" max="15624" width="13.5" style="121" customWidth="1"/>
    <col min="15625" max="15625" width="0" style="121" hidden="1" customWidth="1"/>
    <col min="15626" max="15628" width="13" style="121" customWidth="1"/>
    <col min="15629" max="15629" width="14.83203125" style="121" customWidth="1"/>
    <col min="15630" max="15630" width="13.33203125" style="121" customWidth="1"/>
    <col min="15631" max="15631" width="13.5" style="121" customWidth="1"/>
    <col min="15632" max="15632" width="2.1640625" style="121" customWidth="1"/>
    <col min="15633" max="15633" width="13.83203125" style="121" customWidth="1"/>
    <col min="15634" max="15634" width="10.6640625" style="121" customWidth="1"/>
    <col min="15635" max="15635" width="12" style="121" customWidth="1"/>
    <col min="15636" max="15636" width="11.5" style="121" customWidth="1"/>
    <col min="15637" max="15637" width="16" style="121" customWidth="1"/>
    <col min="15638" max="15639" width="10.6640625" style="121" customWidth="1"/>
    <col min="15640" max="15640" width="15.5" style="121" customWidth="1"/>
    <col min="15641" max="15641" width="11.5" style="121" customWidth="1"/>
    <col min="15642" max="15642" width="12" style="121" customWidth="1"/>
    <col min="15643" max="15643" width="11.5" style="121" customWidth="1"/>
    <col min="15644" max="15644" width="12" style="121" customWidth="1"/>
    <col min="15645" max="15645" width="11.5" style="121" customWidth="1"/>
    <col min="15646" max="15646" width="12.83203125" style="121" customWidth="1"/>
    <col min="15647" max="15647" width="10.6640625" style="121" customWidth="1"/>
    <col min="15648" max="15648" width="19" style="121" customWidth="1"/>
    <col min="15649" max="15649" width="13.33203125" style="121" customWidth="1"/>
    <col min="15650" max="15650" width="18" style="121" customWidth="1"/>
    <col min="15651" max="15651" width="42.5" style="121" customWidth="1"/>
    <col min="15652" max="15652" width="31" style="121" customWidth="1"/>
    <col min="15653" max="15653" width="35" style="121" customWidth="1"/>
    <col min="15654" max="15654" width="31" style="121" customWidth="1"/>
    <col min="15655" max="15655" width="35" style="121" customWidth="1"/>
    <col min="15656" max="15656" width="31" style="121" customWidth="1"/>
    <col min="15657" max="15657" width="37.83203125" style="121" customWidth="1"/>
    <col min="15658" max="15658" width="11.5" style="121" customWidth="1"/>
    <col min="15659" max="15659" width="54" style="121" customWidth="1"/>
    <col min="15660" max="15660" width="43.5" style="121" customWidth="1"/>
    <col min="15661" max="15661" width="44.6640625" style="121" customWidth="1"/>
    <col min="15662" max="15871" width="6.33203125" style="121"/>
    <col min="15872" max="15873" width="2.1640625" style="121" customWidth="1"/>
    <col min="15874" max="15874" width="0" style="121" hidden="1" customWidth="1"/>
    <col min="15875" max="15877" width="12.83203125" style="121" customWidth="1"/>
    <col min="15878" max="15878" width="12" style="121" customWidth="1"/>
    <col min="15879" max="15879" width="12.33203125" style="121" customWidth="1"/>
    <col min="15880" max="15880" width="13.5" style="121" customWidth="1"/>
    <col min="15881" max="15881" width="0" style="121" hidden="1" customWidth="1"/>
    <col min="15882" max="15884" width="13" style="121" customWidth="1"/>
    <col min="15885" max="15885" width="14.83203125" style="121" customWidth="1"/>
    <col min="15886" max="15886" width="13.33203125" style="121" customWidth="1"/>
    <col min="15887" max="15887" width="13.5" style="121" customWidth="1"/>
    <col min="15888" max="15888" width="2.1640625" style="121" customWidth="1"/>
    <col min="15889" max="15889" width="13.83203125" style="121" customWidth="1"/>
    <col min="15890" max="15890" width="10.6640625" style="121" customWidth="1"/>
    <col min="15891" max="15891" width="12" style="121" customWidth="1"/>
    <col min="15892" max="15892" width="11.5" style="121" customWidth="1"/>
    <col min="15893" max="15893" width="16" style="121" customWidth="1"/>
    <col min="15894" max="15895" width="10.6640625" style="121" customWidth="1"/>
    <col min="15896" max="15896" width="15.5" style="121" customWidth="1"/>
    <col min="15897" max="15897" width="11.5" style="121" customWidth="1"/>
    <col min="15898" max="15898" width="12" style="121" customWidth="1"/>
    <col min="15899" max="15899" width="11.5" style="121" customWidth="1"/>
    <col min="15900" max="15900" width="12" style="121" customWidth="1"/>
    <col min="15901" max="15901" width="11.5" style="121" customWidth="1"/>
    <col min="15902" max="15902" width="12.83203125" style="121" customWidth="1"/>
    <col min="15903" max="15903" width="10.6640625" style="121" customWidth="1"/>
    <col min="15904" max="15904" width="19" style="121" customWidth="1"/>
    <col min="15905" max="15905" width="13.33203125" style="121" customWidth="1"/>
    <col min="15906" max="15906" width="18" style="121" customWidth="1"/>
    <col min="15907" max="15907" width="42.5" style="121" customWidth="1"/>
    <col min="15908" max="15908" width="31" style="121" customWidth="1"/>
    <col min="15909" max="15909" width="35" style="121" customWidth="1"/>
    <col min="15910" max="15910" width="31" style="121" customWidth="1"/>
    <col min="15911" max="15911" width="35" style="121" customWidth="1"/>
    <col min="15912" max="15912" width="31" style="121" customWidth="1"/>
    <col min="15913" max="15913" width="37.83203125" style="121" customWidth="1"/>
    <col min="15914" max="15914" width="11.5" style="121" customWidth="1"/>
    <col min="15915" max="15915" width="54" style="121" customWidth="1"/>
    <col min="15916" max="15916" width="43.5" style="121" customWidth="1"/>
    <col min="15917" max="15917" width="44.6640625" style="121" customWidth="1"/>
    <col min="15918" max="16127" width="6.33203125" style="121"/>
    <col min="16128" max="16129" width="2.1640625" style="121" customWidth="1"/>
    <col min="16130" max="16130" width="0" style="121" hidden="1" customWidth="1"/>
    <col min="16131" max="16133" width="12.83203125" style="121" customWidth="1"/>
    <col min="16134" max="16134" width="12" style="121" customWidth="1"/>
    <col min="16135" max="16135" width="12.33203125" style="121" customWidth="1"/>
    <col min="16136" max="16136" width="13.5" style="121" customWidth="1"/>
    <col min="16137" max="16137" width="0" style="121" hidden="1" customWidth="1"/>
    <col min="16138" max="16140" width="13" style="121" customWidth="1"/>
    <col min="16141" max="16141" width="14.83203125" style="121" customWidth="1"/>
    <col min="16142" max="16142" width="13.33203125" style="121" customWidth="1"/>
    <col min="16143" max="16143" width="13.5" style="121" customWidth="1"/>
    <col min="16144" max="16144" width="2.1640625" style="121" customWidth="1"/>
    <col min="16145" max="16145" width="13.83203125" style="121" customWidth="1"/>
    <col min="16146" max="16146" width="10.6640625" style="121" customWidth="1"/>
    <col min="16147" max="16147" width="12" style="121" customWidth="1"/>
    <col min="16148" max="16148" width="11.5" style="121" customWidth="1"/>
    <col min="16149" max="16149" width="16" style="121" customWidth="1"/>
    <col min="16150" max="16151" width="10.6640625" style="121" customWidth="1"/>
    <col min="16152" max="16152" width="15.5" style="121" customWidth="1"/>
    <col min="16153" max="16153" width="11.5" style="121" customWidth="1"/>
    <col min="16154" max="16154" width="12" style="121" customWidth="1"/>
    <col min="16155" max="16155" width="11.5" style="121" customWidth="1"/>
    <col min="16156" max="16156" width="12" style="121" customWidth="1"/>
    <col min="16157" max="16157" width="11.5" style="121" customWidth="1"/>
    <col min="16158" max="16158" width="12.83203125" style="121" customWidth="1"/>
    <col min="16159" max="16159" width="10.6640625" style="121" customWidth="1"/>
    <col min="16160" max="16160" width="19" style="121" customWidth="1"/>
    <col min="16161" max="16161" width="13.33203125" style="121" customWidth="1"/>
    <col min="16162" max="16162" width="18" style="121" customWidth="1"/>
    <col min="16163" max="16163" width="42.5" style="121" customWidth="1"/>
    <col min="16164" max="16164" width="31" style="121" customWidth="1"/>
    <col min="16165" max="16165" width="35" style="121" customWidth="1"/>
    <col min="16166" max="16166" width="31" style="121" customWidth="1"/>
    <col min="16167" max="16167" width="35" style="121" customWidth="1"/>
    <col min="16168" max="16168" width="31" style="121" customWidth="1"/>
    <col min="16169" max="16169" width="37.83203125" style="121" customWidth="1"/>
    <col min="16170" max="16170" width="11.5" style="121" customWidth="1"/>
    <col min="16171" max="16171" width="54" style="121" customWidth="1"/>
    <col min="16172" max="16172" width="43.5" style="121" customWidth="1"/>
    <col min="16173" max="16173" width="44.6640625" style="121" customWidth="1"/>
    <col min="16174" max="16384" width="6.33203125" style="121"/>
  </cols>
  <sheetData>
    <row r="1" spans="2:18" ht="15" customHeight="1" thickBot="1">
      <c r="B1" s="278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6"/>
      <c r="O1" s="276"/>
      <c r="P1" s="275"/>
    </row>
    <row r="2" spans="2:18" ht="15" customHeight="1">
      <c r="B2" s="274"/>
      <c r="C2" s="271"/>
      <c r="D2" s="351"/>
      <c r="E2" s="352"/>
      <c r="F2" s="357" t="s">
        <v>211</v>
      </c>
      <c r="G2" s="357"/>
      <c r="H2" s="357"/>
      <c r="I2" s="357"/>
      <c r="J2" s="357"/>
      <c r="K2" s="357"/>
      <c r="L2" s="357"/>
      <c r="M2" s="357"/>
      <c r="N2" s="357"/>
      <c r="O2" s="358"/>
      <c r="P2" s="189"/>
    </row>
    <row r="3" spans="2:18" ht="15" customHeight="1">
      <c r="B3" s="274"/>
      <c r="C3" s="271"/>
      <c r="D3" s="353"/>
      <c r="E3" s="354"/>
      <c r="F3" s="359"/>
      <c r="G3" s="359"/>
      <c r="H3" s="359"/>
      <c r="I3" s="359"/>
      <c r="J3" s="359"/>
      <c r="K3" s="359"/>
      <c r="L3" s="359"/>
      <c r="M3" s="359"/>
      <c r="N3" s="359"/>
      <c r="O3" s="360"/>
      <c r="P3" s="189"/>
    </row>
    <row r="4" spans="2:18" ht="15" customHeight="1">
      <c r="B4" s="274"/>
      <c r="C4" s="271"/>
      <c r="D4" s="353"/>
      <c r="E4" s="354"/>
      <c r="F4" s="359" t="s">
        <v>210</v>
      </c>
      <c r="G4" s="359"/>
      <c r="H4" s="359"/>
      <c r="I4" s="359"/>
      <c r="J4" s="359"/>
      <c r="K4" s="359"/>
      <c r="L4" s="359" t="s">
        <v>209</v>
      </c>
      <c r="M4" s="359"/>
      <c r="N4" s="362">
        <v>44880</v>
      </c>
      <c r="O4" s="363"/>
      <c r="P4" s="189"/>
    </row>
    <row r="5" spans="2:18" ht="15" customHeight="1" thickBot="1">
      <c r="B5" s="274"/>
      <c r="C5" s="271"/>
      <c r="D5" s="355"/>
      <c r="E5" s="356"/>
      <c r="F5" s="361"/>
      <c r="G5" s="361"/>
      <c r="H5" s="361"/>
      <c r="I5" s="361"/>
      <c r="J5" s="361"/>
      <c r="K5" s="361"/>
      <c r="L5" s="361"/>
      <c r="M5" s="361"/>
      <c r="N5" s="364"/>
      <c r="O5" s="365"/>
      <c r="P5" s="189"/>
    </row>
    <row r="6" spans="2:18" ht="14.25" customHeight="1" thickBot="1">
      <c r="B6" s="274"/>
      <c r="C6" s="271"/>
      <c r="D6" s="273"/>
      <c r="E6" s="273"/>
      <c r="F6" s="273"/>
      <c r="G6" s="273"/>
      <c r="H6" s="273"/>
      <c r="I6" s="273"/>
      <c r="J6" s="273"/>
      <c r="K6" s="273"/>
      <c r="L6" s="272"/>
      <c r="M6" s="271"/>
      <c r="P6" s="189"/>
    </row>
    <row r="7" spans="2:18" ht="15" customHeight="1">
      <c r="B7" s="195"/>
      <c r="C7" s="215"/>
      <c r="D7" s="343"/>
      <c r="E7" s="344"/>
      <c r="F7" s="344"/>
      <c r="G7" s="270" t="s">
        <v>208</v>
      </c>
      <c r="H7" s="270" t="s">
        <v>207</v>
      </c>
      <c r="I7" s="269" t="s">
        <v>206</v>
      </c>
      <c r="J7" s="347"/>
      <c r="K7" s="348"/>
      <c r="L7" s="348"/>
      <c r="M7" s="270" t="s">
        <v>208</v>
      </c>
      <c r="N7" s="270" t="s">
        <v>207</v>
      </c>
      <c r="O7" s="269" t="s">
        <v>206</v>
      </c>
      <c r="P7" s="189"/>
    </row>
    <row r="8" spans="2:18" ht="15" customHeight="1" thickBot="1">
      <c r="B8" s="195"/>
      <c r="C8" s="215"/>
      <c r="D8" s="345"/>
      <c r="E8" s="346"/>
      <c r="F8" s="346"/>
      <c r="G8" s="268" t="s">
        <v>34</v>
      </c>
      <c r="H8" s="268" t="s">
        <v>189</v>
      </c>
      <c r="I8" s="267" t="s">
        <v>10</v>
      </c>
      <c r="J8" s="349"/>
      <c r="K8" s="350"/>
      <c r="L8" s="350"/>
      <c r="M8" s="268" t="s">
        <v>34</v>
      </c>
      <c r="N8" s="268" t="s">
        <v>189</v>
      </c>
      <c r="O8" s="267" t="s">
        <v>10</v>
      </c>
      <c r="P8" s="189"/>
    </row>
    <row r="9" spans="2:18" ht="15" customHeight="1" thickBot="1">
      <c r="B9" s="195"/>
      <c r="C9" s="215"/>
      <c r="D9" s="366" t="s">
        <v>71</v>
      </c>
      <c r="E9" s="367"/>
      <c r="F9" s="367"/>
      <c r="G9" s="367"/>
      <c r="H9" s="367"/>
      <c r="I9" s="368"/>
      <c r="J9" s="371" t="s">
        <v>205</v>
      </c>
      <c r="K9" s="372"/>
      <c r="L9" s="372"/>
      <c r="M9" s="372"/>
      <c r="N9" s="372"/>
      <c r="O9" s="373"/>
      <c r="P9" s="189"/>
    </row>
    <row r="10" spans="2:18" ht="15" customHeight="1">
      <c r="B10" s="195"/>
      <c r="C10" s="215" t="s">
        <v>204</v>
      </c>
      <c r="D10" s="374" t="s">
        <v>203</v>
      </c>
      <c r="E10" s="375"/>
      <c r="F10" s="376"/>
      <c r="G10" s="298" t="e">
        <f>+Diagrama!K93*(1-'[2]Nuevo Ingreso Dat Plantas'!E50)</f>
        <v>#REF!</v>
      </c>
      <c r="H10" s="255">
        <f>+Diagrama!I20</f>
        <v>0</v>
      </c>
      <c r="I10" s="249" t="e">
        <f>H10*G10</f>
        <v>#REF!</v>
      </c>
      <c r="J10" s="377" t="s">
        <v>193</v>
      </c>
      <c r="K10" s="378"/>
      <c r="L10" s="379"/>
      <c r="M10" s="297" t="e">
        <f>+Diagrama!J88*(1-'[3]Nuevo Ingreso Dat Plantas'!E68)</f>
        <v>#REF!</v>
      </c>
      <c r="N10" s="265">
        <f>+Diagrama!G54</f>
        <v>0</v>
      </c>
      <c r="O10" s="249" t="e">
        <f>N10*M10</f>
        <v>#REF!</v>
      </c>
      <c r="P10" s="189"/>
    </row>
    <row r="11" spans="2:18" ht="15" customHeight="1">
      <c r="B11" s="195"/>
      <c r="C11" s="215"/>
      <c r="D11" s="374" t="s">
        <v>202</v>
      </c>
      <c r="E11" s="375"/>
      <c r="F11" s="376"/>
      <c r="G11" s="228">
        <v>0</v>
      </c>
      <c r="H11" s="227">
        <v>0</v>
      </c>
      <c r="I11" s="249">
        <f>H11*G11</f>
        <v>0</v>
      </c>
      <c r="J11" s="374" t="s">
        <v>192</v>
      </c>
      <c r="K11" s="375"/>
      <c r="L11" s="376"/>
      <c r="M11" s="298">
        <f>+Diagrama!J86*(1-'[3]Nuevo Ingreso Dat Plantas'!E75)</f>
        <v>107666.20877499999</v>
      </c>
      <c r="N11" s="255">
        <f>++Diagrama!R63</f>
        <v>0</v>
      </c>
      <c r="O11" s="249">
        <f>N11*M11</f>
        <v>0</v>
      </c>
      <c r="P11" s="189"/>
    </row>
    <row r="12" spans="2:18" ht="15" customHeight="1">
      <c r="B12" s="195"/>
      <c r="C12" s="215"/>
      <c r="D12" s="374" t="s">
        <v>201</v>
      </c>
      <c r="E12" s="375"/>
      <c r="F12" s="376"/>
      <c r="G12" s="228">
        <v>0</v>
      </c>
      <c r="H12" s="227">
        <v>0</v>
      </c>
      <c r="I12" s="249">
        <v>0</v>
      </c>
      <c r="J12" s="374" t="s">
        <v>191</v>
      </c>
      <c r="K12" s="375"/>
      <c r="L12" s="376"/>
      <c r="M12" s="298" t="e">
        <f>+Diagrama!J87*(1-'[3]Nuevo Ingreso Dat Plantas'!E73)</f>
        <v>#REF!</v>
      </c>
      <c r="N12" s="255">
        <f>+Diagrama!N59</f>
        <v>0</v>
      </c>
      <c r="O12" s="249" t="e">
        <f>N12*M12</f>
        <v>#REF!</v>
      </c>
      <c r="P12" s="189"/>
    </row>
    <row r="13" spans="2:18" ht="15" customHeight="1" thickBot="1">
      <c r="B13" s="195"/>
      <c r="C13" s="215"/>
      <c r="D13" s="380" t="s">
        <v>200</v>
      </c>
      <c r="E13" s="381"/>
      <c r="F13" s="382"/>
      <c r="G13" s="228">
        <v>0</v>
      </c>
      <c r="H13" s="227">
        <v>0</v>
      </c>
      <c r="I13" s="249">
        <v>0</v>
      </c>
      <c r="J13" s="264" t="s">
        <v>199</v>
      </c>
      <c r="K13" s="263"/>
      <c r="L13" s="262"/>
      <c r="M13" s="299" t="e">
        <f>+Diagrama!J94*(1-'[3]Nuevo Ingreso Dat Plantas'!E51)</f>
        <v>#REF!</v>
      </c>
      <c r="N13" s="255">
        <f>+Diagrama!O10</f>
        <v>0</v>
      </c>
      <c r="O13" s="249" t="e">
        <f>N13*M13</f>
        <v>#REF!</v>
      </c>
      <c r="P13" s="189"/>
      <c r="R13" s="259"/>
    </row>
    <row r="14" spans="2:18" ht="15" customHeight="1" thickBot="1">
      <c r="B14" s="195"/>
      <c r="C14" s="215" t="s">
        <v>198</v>
      </c>
      <c r="D14" s="383" t="s">
        <v>179</v>
      </c>
      <c r="E14" s="384"/>
      <c r="F14" s="384"/>
      <c r="G14" s="247" t="e">
        <f>SUM(G10:G13)</f>
        <v>#REF!</v>
      </c>
      <c r="H14" s="248">
        <f>H10</f>
        <v>0</v>
      </c>
      <c r="I14" s="247" t="e">
        <f>I10</f>
        <v>#REF!</v>
      </c>
      <c r="J14" s="385" t="s">
        <v>179</v>
      </c>
      <c r="K14" s="384"/>
      <c r="L14" s="384"/>
      <c r="M14" s="247" t="e">
        <f>SUM(M10:M13)</f>
        <v>#REF!</v>
      </c>
      <c r="N14" s="248" t="e">
        <f>SUMPRODUCT(M10:M13,N10:N13)/M14</f>
        <v>#REF!</v>
      </c>
      <c r="O14" s="247" t="e">
        <f>N14*M14</f>
        <v>#REF!</v>
      </c>
      <c r="P14" s="189"/>
      <c r="Q14" s="296"/>
      <c r="R14" s="259"/>
    </row>
    <row r="15" spans="2:18" ht="15" customHeight="1" thickBot="1">
      <c r="B15" s="195"/>
      <c r="C15" s="215"/>
      <c r="D15" s="366" t="s">
        <v>197</v>
      </c>
      <c r="E15" s="367"/>
      <c r="F15" s="367"/>
      <c r="G15" s="367"/>
      <c r="H15" s="367"/>
      <c r="I15" s="368"/>
      <c r="J15" s="369" t="s">
        <v>196</v>
      </c>
      <c r="K15" s="369"/>
      <c r="L15" s="369"/>
      <c r="M15" s="369"/>
      <c r="N15" s="369"/>
      <c r="O15" s="370"/>
      <c r="P15" s="189"/>
    </row>
    <row r="16" spans="2:18" ht="15" customHeight="1" thickBot="1">
      <c r="B16" s="195"/>
      <c r="C16" s="215"/>
      <c r="D16" s="374" t="s">
        <v>195</v>
      </c>
      <c r="E16" s="375"/>
      <c r="F16" s="376"/>
      <c r="G16" s="300" t="e">
        <f>+Diagrama!K94*(1-'[3]Nuevo Ingreso Dat Plantas'!E83)</f>
        <v>#REF!</v>
      </c>
      <c r="H16" s="227">
        <f>+Diagrama!U18</f>
        <v>0</v>
      </c>
      <c r="I16" s="249" t="e">
        <f t="shared" ref="I16:I20" si="0">H16*G16</f>
        <v>#REF!</v>
      </c>
      <c r="J16" s="279" t="s">
        <v>194</v>
      </c>
      <c r="K16" s="279"/>
      <c r="L16" s="280"/>
      <c r="M16" s="256">
        <f>+Diagrama!J92</f>
        <v>43011</v>
      </c>
      <c r="N16" s="255">
        <f>+Diagrama!F32</f>
        <v>0</v>
      </c>
      <c r="O16" s="249">
        <f>N16*M16</f>
        <v>0</v>
      </c>
      <c r="P16" s="189"/>
      <c r="Q16" s="251"/>
    </row>
    <row r="17" spans="2:19" ht="15" customHeight="1" thickBot="1">
      <c r="B17" s="195"/>
      <c r="C17" s="215"/>
      <c r="D17" s="374" t="s">
        <v>193</v>
      </c>
      <c r="E17" s="375"/>
      <c r="F17" s="376"/>
      <c r="G17" s="300" t="e">
        <f>+Diagrama!K88*(1-'[3]Nuevo Ingreso Dat Plantas'!E69)</f>
        <v>#REF!</v>
      </c>
      <c r="H17" s="227">
        <f>+Diagrama!U69</f>
        <v>0</v>
      </c>
      <c r="I17" s="249" t="e">
        <f t="shared" si="0"/>
        <v>#REF!</v>
      </c>
      <c r="J17" s="385" t="s">
        <v>179</v>
      </c>
      <c r="K17" s="384"/>
      <c r="L17" s="384"/>
      <c r="M17" s="214">
        <f>M16</f>
        <v>43011</v>
      </c>
      <c r="N17" s="254">
        <f>N16</f>
        <v>0</v>
      </c>
      <c r="O17" s="210">
        <f>N17*M17</f>
        <v>0</v>
      </c>
      <c r="P17" s="189"/>
      <c r="Q17" s="251"/>
    </row>
    <row r="18" spans="2:19" ht="15" customHeight="1">
      <c r="B18" s="195"/>
      <c r="C18" s="215"/>
      <c r="D18" s="374" t="s">
        <v>192</v>
      </c>
      <c r="E18" s="375"/>
      <c r="F18" s="376"/>
      <c r="G18" s="300" t="e">
        <f>+Diagrama!K86*(1-'[3]Nuevo Ingreso Dat Plantas'!E76)</f>
        <v>#REF!</v>
      </c>
      <c r="H18" s="227">
        <f>+Diagrama!T63</f>
        <v>0</v>
      </c>
      <c r="I18" s="249" t="e">
        <f t="shared" si="0"/>
        <v>#REF!</v>
      </c>
      <c r="M18" s="253"/>
      <c r="N18" s="252"/>
      <c r="O18" s="252"/>
      <c r="P18" s="189"/>
      <c r="Q18" s="251"/>
    </row>
    <row r="19" spans="2:19" ht="15" customHeight="1">
      <c r="B19" s="195"/>
      <c r="C19" s="215"/>
      <c r="D19" s="374" t="s">
        <v>98</v>
      </c>
      <c r="E19" s="375"/>
      <c r="F19" s="376"/>
      <c r="G19" s="300" t="e">
        <f>+Diagrama!K95*(1-'[3]Nuevo Ingreso Dat Plantas'!E82)</f>
        <v>#REF!</v>
      </c>
      <c r="H19" s="227">
        <f>+Diagrama!T40</f>
        <v>0</v>
      </c>
      <c r="I19" s="249" t="e">
        <f t="shared" si="0"/>
        <v>#REF!</v>
      </c>
      <c r="J19" s="389"/>
      <c r="K19" s="389"/>
      <c r="L19" s="389"/>
      <c r="M19" s="250"/>
      <c r="N19" s="217"/>
      <c r="O19" s="216"/>
      <c r="P19" s="189"/>
    </row>
    <row r="20" spans="2:19" ht="15" customHeight="1" thickBot="1">
      <c r="B20" s="195"/>
      <c r="C20" s="215"/>
      <c r="D20" s="374" t="s">
        <v>191</v>
      </c>
      <c r="E20" s="375"/>
      <c r="F20" s="376"/>
      <c r="G20" s="300">
        <f>+Diagrama!K87*(1-'[3]Nuevo Ingreso Dat Plantas'!E86)</f>
        <v>0</v>
      </c>
      <c r="H20" s="227">
        <f>+Diagrama!T49</f>
        <v>0</v>
      </c>
      <c r="I20" s="249">
        <f t="shared" si="0"/>
        <v>0</v>
      </c>
      <c r="J20" s="390"/>
      <c r="K20" s="390"/>
      <c r="L20" s="390"/>
      <c r="M20" s="245"/>
      <c r="N20" s="208"/>
      <c r="O20" s="207"/>
      <c r="P20" s="189"/>
    </row>
    <row r="21" spans="2:19" ht="15" customHeight="1" thickBot="1">
      <c r="B21" s="195"/>
      <c r="C21" s="215"/>
      <c r="D21" s="383" t="s">
        <v>179</v>
      </c>
      <c r="E21" s="384"/>
      <c r="F21" s="384"/>
      <c r="G21" s="247" t="e">
        <f>SUM(G16:G20)</f>
        <v>#REF!</v>
      </c>
      <c r="H21" s="248" t="e">
        <f>SUMPRODUCT(G16:G20,H16:H20)/G21</f>
        <v>#REF!</v>
      </c>
      <c r="I21" s="247" t="e">
        <f>SUM(I16:I20)</f>
        <v>#REF!</v>
      </c>
      <c r="J21" s="390"/>
      <c r="K21" s="390"/>
      <c r="L21" s="390"/>
      <c r="M21" s="245"/>
      <c r="N21" s="208"/>
      <c r="O21" s="207"/>
      <c r="P21" s="189"/>
    </row>
    <row r="22" spans="2:19" ht="15" customHeight="1" thickBot="1">
      <c r="B22" s="195"/>
      <c r="C22" s="215"/>
      <c r="D22" s="281"/>
      <c r="E22" s="281"/>
      <c r="F22" s="281"/>
      <c r="G22" s="281"/>
      <c r="H22" s="281"/>
      <c r="I22" s="281"/>
      <c r="J22" s="281"/>
      <c r="K22" s="281"/>
      <c r="L22" s="281"/>
      <c r="M22" s="245"/>
      <c r="N22" s="208"/>
      <c r="O22" s="207"/>
      <c r="P22" s="189"/>
    </row>
    <row r="23" spans="2:19" ht="15" hidden="1" customHeight="1" thickBot="1">
      <c r="B23" s="195"/>
      <c r="C23" s="215"/>
      <c r="D23" s="391" t="s">
        <v>190</v>
      </c>
      <c r="E23" s="369"/>
      <c r="F23" s="392"/>
      <c r="G23" s="244" t="s">
        <v>34</v>
      </c>
      <c r="H23" s="244" t="s">
        <v>189</v>
      </c>
      <c r="I23" s="243" t="s">
        <v>10</v>
      </c>
      <c r="J23" s="282" t="s">
        <v>188</v>
      </c>
      <c r="K23" s="241" t="s">
        <v>187</v>
      </c>
      <c r="L23" s="209"/>
      <c r="M23" s="240"/>
      <c r="N23" s="209"/>
      <c r="O23" s="209"/>
      <c r="P23" s="239"/>
    </row>
    <row r="24" spans="2:19" ht="15" hidden="1" customHeight="1">
      <c r="B24" s="195"/>
      <c r="C24" s="215"/>
      <c r="D24" s="386" t="s">
        <v>186</v>
      </c>
      <c r="E24" s="387"/>
      <c r="F24" s="388"/>
      <c r="G24" s="238"/>
      <c r="H24" s="237"/>
      <c r="I24" s="236"/>
      <c r="J24" s="221"/>
      <c r="K24" s="235"/>
      <c r="L24" s="219"/>
      <c r="M24" s="218">
        <v>0.76</v>
      </c>
      <c r="N24" s="217"/>
      <c r="O24" s="216"/>
      <c r="P24" s="189"/>
      <c r="S24" s="206"/>
    </row>
    <row r="25" spans="2:19" ht="15" hidden="1" customHeight="1">
      <c r="B25" s="195"/>
      <c r="C25" s="215"/>
      <c r="D25" s="399" t="s">
        <v>185</v>
      </c>
      <c r="E25" s="400"/>
      <c r="F25" s="401"/>
      <c r="G25" s="228"/>
      <c r="H25" s="227"/>
      <c r="I25" s="226"/>
      <c r="J25" s="221"/>
      <c r="K25" s="225"/>
      <c r="L25" s="219"/>
      <c r="M25" s="218">
        <v>8.68</v>
      </c>
      <c r="N25" s="217"/>
      <c r="O25" s="216"/>
      <c r="P25" s="189"/>
      <c r="S25" s="206"/>
    </row>
    <row r="26" spans="2:19" ht="15" hidden="1" customHeight="1">
      <c r="B26" s="195"/>
      <c r="C26" s="215"/>
      <c r="D26" s="399" t="s">
        <v>184</v>
      </c>
      <c r="E26" s="400"/>
      <c r="F26" s="401"/>
      <c r="G26" s="228"/>
      <c r="H26" s="227"/>
      <c r="I26" s="226"/>
      <c r="J26" s="221"/>
      <c r="K26" s="225"/>
      <c r="L26" s="219"/>
      <c r="M26" s="218">
        <v>0.76</v>
      </c>
      <c r="N26" s="217"/>
      <c r="O26" s="216"/>
      <c r="P26" s="189"/>
      <c r="S26" s="206"/>
    </row>
    <row r="27" spans="2:19" ht="15" hidden="1" customHeight="1">
      <c r="B27" s="195"/>
      <c r="C27" s="215"/>
      <c r="D27" s="399" t="s">
        <v>183</v>
      </c>
      <c r="E27" s="400"/>
      <c r="F27" s="401"/>
      <c r="G27" s="228"/>
      <c r="H27" s="227"/>
      <c r="I27" s="226"/>
      <c r="J27" s="221"/>
      <c r="K27" s="225"/>
      <c r="L27" s="219"/>
      <c r="M27" s="218">
        <v>8.39</v>
      </c>
      <c r="N27" s="217"/>
      <c r="O27" s="216"/>
      <c r="P27" s="189"/>
      <c r="S27" s="206"/>
    </row>
    <row r="28" spans="2:19" ht="15" hidden="1" customHeight="1">
      <c r="B28" s="195"/>
      <c r="C28" s="215"/>
      <c r="D28" s="283" t="s">
        <v>182</v>
      </c>
      <c r="E28" s="284"/>
      <c r="F28" s="285"/>
      <c r="G28" s="228"/>
      <c r="H28" s="227"/>
      <c r="I28" s="231"/>
      <c r="J28" s="230"/>
      <c r="K28" s="229"/>
      <c r="L28" s="219"/>
      <c r="M28" s="218"/>
      <c r="N28" s="217"/>
      <c r="O28" s="216"/>
      <c r="P28" s="189"/>
      <c r="S28" s="206"/>
    </row>
    <row r="29" spans="2:19" ht="15" hidden="1" customHeight="1">
      <c r="B29" s="195"/>
      <c r="C29" s="215"/>
      <c r="D29" s="374" t="s">
        <v>181</v>
      </c>
      <c r="E29" s="375"/>
      <c r="F29" s="376"/>
      <c r="G29" s="228"/>
      <c r="H29" s="227"/>
      <c r="I29" s="226"/>
      <c r="J29" s="221"/>
      <c r="K29" s="225"/>
      <c r="L29" s="219"/>
      <c r="M29" s="218">
        <v>0.05</v>
      </c>
      <c r="N29" s="217"/>
      <c r="O29" s="216"/>
      <c r="P29" s="189"/>
      <c r="S29" s="206"/>
    </row>
    <row r="30" spans="2:19" ht="15" hidden="1" customHeight="1" thickBot="1">
      <c r="B30" s="195"/>
      <c r="C30" s="215"/>
      <c r="D30" s="402" t="s">
        <v>180</v>
      </c>
      <c r="E30" s="403"/>
      <c r="F30" s="404"/>
      <c r="G30" s="224"/>
      <c r="H30" s="223"/>
      <c r="I30" s="222"/>
      <c r="J30" s="221"/>
      <c r="K30" s="220"/>
      <c r="L30" s="219"/>
      <c r="M30" s="218">
        <v>0.05</v>
      </c>
      <c r="N30" s="217"/>
      <c r="O30" s="216"/>
      <c r="P30" s="189"/>
      <c r="S30" s="206"/>
    </row>
    <row r="31" spans="2:19" ht="15" hidden="1" customHeight="1" thickBot="1">
      <c r="B31" s="195"/>
      <c r="C31" s="215"/>
      <c r="D31" s="405" t="s">
        <v>179</v>
      </c>
      <c r="E31" s="406"/>
      <c r="F31" s="406"/>
      <c r="G31" s="214">
        <v>0</v>
      </c>
      <c r="H31" s="213" t="e">
        <v>#DIV/0!</v>
      </c>
      <c r="I31" s="212">
        <v>0</v>
      </c>
      <c r="J31" s="211">
        <v>0</v>
      </c>
      <c r="K31" s="210">
        <v>0</v>
      </c>
      <c r="L31" s="209"/>
      <c r="M31" s="207"/>
      <c r="N31" s="208"/>
      <c r="O31" s="207"/>
      <c r="P31" s="189"/>
      <c r="S31" s="206"/>
    </row>
    <row r="32" spans="2:19" ht="15" hidden="1" customHeight="1" thickBot="1">
      <c r="B32" s="195"/>
      <c r="D32" s="205"/>
      <c r="H32" s="202"/>
      <c r="I32" s="204"/>
      <c r="J32" s="202"/>
      <c r="K32" s="203"/>
      <c r="L32" s="202"/>
      <c r="N32" s="201"/>
      <c r="P32" s="189"/>
    </row>
    <row r="33" spans="2:16" ht="15" customHeight="1" thickBot="1">
      <c r="B33" s="195"/>
      <c r="D33" s="407" t="s">
        <v>178</v>
      </c>
      <c r="E33" s="408"/>
      <c r="F33" s="408"/>
      <c r="G33" s="408"/>
      <c r="H33" s="408"/>
      <c r="I33" s="408"/>
      <c r="J33" s="408"/>
      <c r="K33" s="408"/>
      <c r="L33" s="408"/>
      <c r="M33" s="408"/>
      <c r="N33" s="408"/>
      <c r="O33" s="409"/>
      <c r="P33" s="189"/>
    </row>
    <row r="34" spans="2:16" ht="15" customHeight="1" thickBot="1">
      <c r="B34" s="195"/>
      <c r="P34" s="189"/>
    </row>
    <row r="35" spans="2:16" ht="15" customHeight="1" thickBot="1">
      <c r="B35" s="195"/>
      <c r="D35" s="410" t="s">
        <v>177</v>
      </c>
      <c r="E35" s="411"/>
      <c r="F35" s="412"/>
      <c r="G35" s="413"/>
      <c r="H35" s="413"/>
      <c r="J35" s="410" t="s">
        <v>176</v>
      </c>
      <c r="K35" s="411"/>
      <c r="L35" s="412"/>
      <c r="M35" s="413"/>
      <c r="N35" s="413"/>
      <c r="P35" s="189"/>
    </row>
    <row r="36" spans="2:16" ht="15" customHeight="1">
      <c r="B36" s="195"/>
      <c r="D36" s="393">
        <f>+Diagrama!J91/100</f>
        <v>0.82434808049810337</v>
      </c>
      <c r="E36" s="394"/>
      <c r="F36" s="395"/>
      <c r="G36" s="200"/>
      <c r="H36" s="199"/>
      <c r="J36" s="393" t="e">
        <f>D36*N14/H14</f>
        <v>#REF!</v>
      </c>
      <c r="K36" s="394"/>
      <c r="L36" s="395"/>
      <c r="M36" s="199"/>
      <c r="N36" s="199"/>
      <c r="P36" s="189"/>
    </row>
    <row r="37" spans="2:16" ht="15" customHeight="1" thickBot="1">
      <c r="B37" s="195"/>
      <c r="D37" s="396"/>
      <c r="E37" s="397"/>
      <c r="F37" s="398"/>
      <c r="G37" s="198"/>
      <c r="H37" s="196"/>
      <c r="J37" s="396"/>
      <c r="K37" s="397"/>
      <c r="L37" s="398"/>
      <c r="M37" s="197"/>
      <c r="N37" s="196"/>
      <c r="P37" s="189"/>
    </row>
    <row r="38" spans="2:16" ht="15" customHeight="1">
      <c r="B38" s="195"/>
      <c r="D38" s="192"/>
      <c r="E38" s="192"/>
      <c r="F38" s="192"/>
      <c r="G38" s="194"/>
      <c r="H38" s="193"/>
      <c r="J38" s="192"/>
      <c r="K38" s="192"/>
      <c r="L38" s="192"/>
      <c r="M38" s="191"/>
      <c r="N38" s="190"/>
      <c r="P38" s="189"/>
    </row>
    <row r="39" spans="2:16" ht="14.25" customHeight="1" thickBot="1">
      <c r="B39" s="188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6"/>
    </row>
    <row r="41" spans="2:16" ht="15" customHeight="1">
      <c r="H41" s="185"/>
    </row>
  </sheetData>
  <mergeCells count="45">
    <mergeCell ref="D36:F37"/>
    <mergeCell ref="J36:L37"/>
    <mergeCell ref="D25:F25"/>
    <mergeCell ref="D26:F26"/>
    <mergeCell ref="D27:F27"/>
    <mergeCell ref="D29:F29"/>
    <mergeCell ref="D30:F30"/>
    <mergeCell ref="D31:F31"/>
    <mergeCell ref="D33:O33"/>
    <mergeCell ref="D35:F35"/>
    <mergeCell ref="G35:H35"/>
    <mergeCell ref="J35:L35"/>
    <mergeCell ref="M35:N35"/>
    <mergeCell ref="D24:F24"/>
    <mergeCell ref="D16:F16"/>
    <mergeCell ref="D17:F17"/>
    <mergeCell ref="J17:L17"/>
    <mergeCell ref="D18:F18"/>
    <mergeCell ref="D19:F19"/>
    <mergeCell ref="J19:L19"/>
    <mergeCell ref="D20:F20"/>
    <mergeCell ref="J20:L20"/>
    <mergeCell ref="D21:F21"/>
    <mergeCell ref="J21:L21"/>
    <mergeCell ref="D23:F23"/>
    <mergeCell ref="D15:I15"/>
    <mergeCell ref="J15:O15"/>
    <mergeCell ref="D9:I9"/>
    <mergeCell ref="J9:O9"/>
    <mergeCell ref="D10:F10"/>
    <mergeCell ref="J10:L10"/>
    <mergeCell ref="D11:F11"/>
    <mergeCell ref="J11:L11"/>
    <mergeCell ref="D12:F12"/>
    <mergeCell ref="J12:L12"/>
    <mergeCell ref="D13:F13"/>
    <mergeCell ref="D14:F14"/>
    <mergeCell ref="J14:L14"/>
    <mergeCell ref="D7:F8"/>
    <mergeCell ref="J7:L8"/>
    <mergeCell ref="D2:E5"/>
    <mergeCell ref="F2:O3"/>
    <mergeCell ref="F4:K5"/>
    <mergeCell ref="L4:M5"/>
    <mergeCell ref="N4:O5"/>
  </mergeCells>
  <printOptions horizontalCentered="1"/>
  <pageMargins left="0.25" right="0.25" top="0.75" bottom="0.75" header="0.3" footer="0.3"/>
  <pageSetup scale="83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8E3D-5B71-3340-ADA9-545BE31CB61A}">
  <dimension ref="B1:E34"/>
  <sheetViews>
    <sheetView tabSelected="1" workbookViewId="0">
      <selection activeCell="E10" sqref="E10"/>
    </sheetView>
  </sheetViews>
  <sheetFormatPr baseColWidth="10" defaultRowHeight="15"/>
  <cols>
    <col min="2" max="2" width="50.83203125" customWidth="1"/>
    <col min="5" max="5" width="27.83203125" customWidth="1"/>
  </cols>
  <sheetData>
    <row r="1" spans="2:5" ht="24">
      <c r="B1" s="302" t="s">
        <v>212</v>
      </c>
      <c r="C1" s="302" t="s">
        <v>34</v>
      </c>
      <c r="D1" s="303" t="s">
        <v>213</v>
      </c>
      <c r="E1" s="303" t="s">
        <v>171</v>
      </c>
    </row>
    <row r="2" spans="2:5" ht="24">
      <c r="B2" s="302" t="s">
        <v>219</v>
      </c>
      <c r="C2" s="427">
        <v>0</v>
      </c>
      <c r="D2" s="304">
        <v>0</v>
      </c>
      <c r="E2" s="428">
        <v>0</v>
      </c>
    </row>
    <row r="3" spans="2:5" ht="24">
      <c r="B3" s="302" t="s">
        <v>220</v>
      </c>
      <c r="C3" s="427">
        <v>356568</v>
      </c>
      <c r="D3" s="304">
        <v>0.60199999999999998</v>
      </c>
      <c r="E3" s="428">
        <v>7.6E-3</v>
      </c>
    </row>
    <row r="4" spans="2:5" ht="24">
      <c r="B4" s="302" t="s">
        <v>221</v>
      </c>
      <c r="C4" s="427">
        <v>1140</v>
      </c>
      <c r="D4" s="304">
        <v>0.60199999999999998</v>
      </c>
      <c r="E4" s="428">
        <v>7.6E-3</v>
      </c>
    </row>
    <row r="5" spans="2:5" ht="24">
      <c r="B5" s="302" t="s">
        <v>129</v>
      </c>
      <c r="C5" s="427">
        <v>52970</v>
      </c>
      <c r="D5" s="304">
        <v>8.1481208139533301E-2</v>
      </c>
      <c r="E5" s="428">
        <v>0</v>
      </c>
    </row>
    <row r="6" spans="2:5" ht="24">
      <c r="B6" s="302" t="s">
        <v>132</v>
      </c>
      <c r="C6" s="427">
        <v>0</v>
      </c>
      <c r="D6" s="304">
        <v>0</v>
      </c>
      <c r="E6" s="428">
        <v>0</v>
      </c>
    </row>
    <row r="7" spans="2:5" ht="24">
      <c r="B7" s="302" t="s">
        <v>222</v>
      </c>
      <c r="C7" s="427">
        <v>0</v>
      </c>
      <c r="D7" s="304">
        <v>0</v>
      </c>
      <c r="E7" s="428">
        <v>0</v>
      </c>
    </row>
    <row r="8" spans="2:5" ht="24">
      <c r="B8" s="302" t="s">
        <v>137</v>
      </c>
      <c r="C8" s="427">
        <v>0</v>
      </c>
      <c r="D8" s="304">
        <v>0</v>
      </c>
      <c r="E8" s="428">
        <v>0</v>
      </c>
    </row>
    <row r="9" spans="2:5" ht="24">
      <c r="B9" s="302" t="s">
        <v>138</v>
      </c>
      <c r="C9" s="427">
        <v>0</v>
      </c>
      <c r="D9" s="304">
        <v>0</v>
      </c>
      <c r="E9" s="428">
        <v>0</v>
      </c>
    </row>
    <row r="10" spans="2:5" ht="24">
      <c r="B10" s="302" t="s">
        <v>223</v>
      </c>
      <c r="C10" s="427">
        <v>0</v>
      </c>
      <c r="D10" s="304">
        <v>0</v>
      </c>
      <c r="E10" s="428">
        <v>0</v>
      </c>
    </row>
    <row r="11" spans="2:5" ht="24">
      <c r="B11" s="302" t="s">
        <v>224</v>
      </c>
      <c r="C11" s="427">
        <v>0</v>
      </c>
      <c r="D11" s="304">
        <v>0</v>
      </c>
      <c r="E11" s="428">
        <v>0</v>
      </c>
    </row>
    <row r="12" spans="2:5" ht="24">
      <c r="B12" s="302" t="s">
        <v>225</v>
      </c>
      <c r="C12" s="427">
        <v>136144</v>
      </c>
      <c r="D12" s="304">
        <v>0.68225897450861195</v>
      </c>
      <c r="E12" s="428">
        <v>8.7809355428950395E-2</v>
      </c>
    </row>
    <row r="13" spans="2:5" ht="24">
      <c r="B13" s="302" t="s">
        <v>226</v>
      </c>
      <c r="C13" s="427">
        <v>193552.08003454749</v>
      </c>
      <c r="D13" s="304">
        <v>0.68400000000000005</v>
      </c>
      <c r="E13" s="428">
        <v>7.9699999999999993E-2</v>
      </c>
    </row>
    <row r="14" spans="2:5" ht="24">
      <c r="B14" s="302" t="s">
        <v>142</v>
      </c>
      <c r="C14" s="427">
        <v>11719</v>
      </c>
      <c r="D14" s="304">
        <v>0</v>
      </c>
      <c r="E14" s="428">
        <v>0</v>
      </c>
    </row>
    <row r="15" spans="2:5" ht="24">
      <c r="B15" s="302" t="s">
        <v>146</v>
      </c>
      <c r="C15" s="429">
        <v>412</v>
      </c>
      <c r="D15" s="429">
        <v>0</v>
      </c>
      <c r="E15" s="429">
        <v>0</v>
      </c>
    </row>
    <row r="16" spans="2:5" ht="24">
      <c r="B16" s="302" t="s">
        <v>227</v>
      </c>
      <c r="C16" s="429">
        <v>0</v>
      </c>
      <c r="D16" s="429">
        <v>0</v>
      </c>
      <c r="E16" s="429">
        <v>0</v>
      </c>
    </row>
    <row r="17" spans="2:5" ht="24">
      <c r="B17" s="302" t="s">
        <v>228</v>
      </c>
      <c r="C17" s="429">
        <v>8105.2783565110067</v>
      </c>
      <c r="D17" s="429">
        <v>0.65273617856242205</v>
      </c>
      <c r="E17" s="429">
        <v>5.0000000000000001E-3</v>
      </c>
    </row>
    <row r="18" spans="2:5" ht="24">
      <c r="B18" s="302" t="s">
        <v>229</v>
      </c>
      <c r="C18" s="429">
        <v>144250</v>
      </c>
      <c r="D18" s="429">
        <v>0.65273617856242205</v>
      </c>
      <c r="E18" s="429">
        <v>5.0000000000000001E-3</v>
      </c>
    </row>
    <row r="19" spans="2:5" ht="24">
      <c r="B19" s="302" t="s">
        <v>230</v>
      </c>
      <c r="C19" s="429">
        <v>144250</v>
      </c>
      <c r="D19" s="429">
        <v>0.65273617856242205</v>
      </c>
      <c r="E19" s="429">
        <v>5.0000000000000001E-3</v>
      </c>
    </row>
    <row r="20" spans="2:5" ht="24">
      <c r="B20" s="302" t="s">
        <v>231</v>
      </c>
      <c r="C20" s="429">
        <v>205483</v>
      </c>
      <c r="D20" s="429">
        <v>0.65439999999999998</v>
      </c>
      <c r="E20" s="429">
        <v>9.1000000000000004E-3</v>
      </c>
    </row>
    <row r="21" spans="2:5" ht="24">
      <c r="B21" s="302" t="s">
        <v>232</v>
      </c>
      <c r="C21" s="429">
        <v>0</v>
      </c>
      <c r="D21" s="429">
        <v>0</v>
      </c>
      <c r="E21" s="429">
        <v>0</v>
      </c>
    </row>
    <row r="22" spans="2:5" ht="24">
      <c r="B22" s="302" t="s">
        <v>233</v>
      </c>
      <c r="C22" s="429">
        <v>0</v>
      </c>
      <c r="D22" s="429">
        <v>0</v>
      </c>
      <c r="E22" s="429">
        <v>0</v>
      </c>
    </row>
    <row r="23" spans="2:5" ht="24">
      <c r="B23" s="302" t="s">
        <v>234</v>
      </c>
      <c r="C23" s="429">
        <v>0</v>
      </c>
      <c r="D23" s="429">
        <v>0</v>
      </c>
      <c r="E23" s="429">
        <v>0</v>
      </c>
    </row>
    <row r="24" spans="2:5" ht="24">
      <c r="B24" s="302" t="s">
        <v>235</v>
      </c>
      <c r="C24" s="429">
        <v>0</v>
      </c>
      <c r="D24" s="429">
        <v>0</v>
      </c>
      <c r="E24" s="429">
        <v>0</v>
      </c>
    </row>
    <row r="25" spans="2:5" ht="24">
      <c r="B25" s="302" t="s">
        <v>166</v>
      </c>
      <c r="C25" s="429">
        <v>0</v>
      </c>
      <c r="D25" s="429">
        <v>0</v>
      </c>
      <c r="E25" s="429">
        <v>0</v>
      </c>
    </row>
    <row r="26" spans="2:5" ht="24">
      <c r="B26" s="302" t="s">
        <v>236</v>
      </c>
      <c r="C26" s="429">
        <v>0</v>
      </c>
      <c r="D26" s="429">
        <v>0</v>
      </c>
      <c r="E26" s="429">
        <v>0</v>
      </c>
    </row>
    <row r="27" spans="2:5" ht="24">
      <c r="B27" s="302" t="s">
        <v>237</v>
      </c>
      <c r="C27" s="429">
        <v>88000</v>
      </c>
      <c r="D27" s="429">
        <v>0.64190000000000003</v>
      </c>
      <c r="E27" s="429">
        <v>9.4999999999999998E-3</v>
      </c>
    </row>
    <row r="28" spans="2:5" ht="24">
      <c r="B28" s="302" t="s">
        <v>238</v>
      </c>
      <c r="C28" s="429">
        <v>0</v>
      </c>
      <c r="D28" s="429">
        <v>0</v>
      </c>
      <c r="E28" s="429">
        <v>0</v>
      </c>
    </row>
    <row r="29" spans="2:5" ht="24">
      <c r="B29" s="302" t="s">
        <v>239</v>
      </c>
      <c r="C29" s="429">
        <v>32516</v>
      </c>
      <c r="D29" s="429">
        <v>0.65273617856242205</v>
      </c>
      <c r="E29" s="429">
        <v>5.0000000000000001E-3</v>
      </c>
    </row>
    <row r="30" spans="2:5" ht="24">
      <c r="B30" s="302" t="s">
        <v>240</v>
      </c>
      <c r="C30" s="429">
        <v>0</v>
      </c>
      <c r="D30" s="429">
        <v>0</v>
      </c>
      <c r="E30" s="429">
        <v>0</v>
      </c>
    </row>
    <row r="31" spans="2:5" ht="24">
      <c r="B31" s="302" t="s">
        <v>241</v>
      </c>
      <c r="C31" s="429">
        <v>0</v>
      </c>
      <c r="D31" s="429">
        <v>0</v>
      </c>
      <c r="E31" s="429">
        <v>0</v>
      </c>
    </row>
    <row r="32" spans="2:5" ht="24">
      <c r="B32" s="302" t="s">
        <v>242</v>
      </c>
      <c r="C32" s="429">
        <v>4447</v>
      </c>
      <c r="D32" s="429">
        <v>0.65273617856242205</v>
      </c>
      <c r="E32" s="429">
        <v>5.0000000000000001E-3</v>
      </c>
    </row>
    <row r="33" spans="2:5" ht="24">
      <c r="B33" s="302" t="s">
        <v>243</v>
      </c>
      <c r="C33" s="429">
        <v>0</v>
      </c>
      <c r="D33" s="429"/>
      <c r="E33" s="429"/>
    </row>
    <row r="34" spans="2:5" ht="24">
      <c r="B34" s="302" t="s">
        <v>244</v>
      </c>
      <c r="C34" s="429">
        <v>0</v>
      </c>
      <c r="D34" s="429">
        <v>0</v>
      </c>
      <c r="E34" s="4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5742-5B59-FD48-8B5F-357354FA7E0B}">
  <sheetPr>
    <pageSetUpPr fitToPage="1"/>
  </sheetPr>
  <dimension ref="B1:S41"/>
  <sheetViews>
    <sheetView showGridLines="0" zoomScaleNormal="100" workbookViewId="0">
      <pane xSplit="3" ySplit="8" topLeftCell="D9" activePane="bottomRight" state="frozen"/>
      <selection pane="topRight"/>
      <selection pane="bottomLeft"/>
      <selection pane="bottomRight" activeCell="H10" sqref="H10"/>
    </sheetView>
  </sheetViews>
  <sheetFormatPr baseColWidth="10" defaultColWidth="6.33203125" defaultRowHeight="15" customHeight="1"/>
  <cols>
    <col min="1" max="2" width="2.1640625" style="121" customWidth="1"/>
    <col min="3" max="3" width="15.5" style="121" hidden="1" customWidth="1"/>
    <col min="4" max="5" width="12.83203125" style="121" customWidth="1"/>
    <col min="6" max="6" width="15.1640625" style="121" customWidth="1"/>
    <col min="7" max="7" width="12" style="121" customWidth="1"/>
    <col min="8" max="8" width="12.33203125" style="121" customWidth="1"/>
    <col min="9" max="9" width="13.5" style="121" customWidth="1"/>
    <col min="10" max="12" width="13" style="121" customWidth="1"/>
    <col min="13" max="13" width="14.83203125" style="121" customWidth="1"/>
    <col min="14" max="14" width="13.33203125" style="121" customWidth="1"/>
    <col min="15" max="15" width="13.5" style="121" customWidth="1"/>
    <col min="16" max="16" width="2.1640625" style="121" customWidth="1"/>
    <col min="17" max="17" width="13.83203125" style="121" customWidth="1"/>
    <col min="18" max="18" width="10.6640625" style="121" customWidth="1"/>
    <col min="19" max="19" width="12" style="121" customWidth="1"/>
    <col min="20" max="20" width="11.5" style="121" customWidth="1"/>
    <col min="21" max="21" width="16" style="121" customWidth="1"/>
    <col min="22" max="23" width="10.6640625" style="121" customWidth="1"/>
    <col min="24" max="24" width="15.5" style="121" customWidth="1"/>
    <col min="25" max="25" width="11.5" style="121" customWidth="1"/>
    <col min="26" max="26" width="12" style="121" customWidth="1"/>
    <col min="27" max="27" width="11.5" style="121" customWidth="1"/>
    <col min="28" max="28" width="12" style="121" customWidth="1"/>
    <col min="29" max="29" width="11.5" style="121" customWidth="1"/>
    <col min="30" max="30" width="12.83203125" style="121" customWidth="1"/>
    <col min="31" max="31" width="10.6640625" style="121" customWidth="1"/>
    <col min="32" max="32" width="19" style="121" customWidth="1"/>
    <col min="33" max="33" width="13.33203125" style="121" customWidth="1"/>
    <col min="34" max="34" width="18" style="121" customWidth="1"/>
    <col min="35" max="35" width="42.5" style="121" customWidth="1"/>
    <col min="36" max="36" width="31" style="121" customWidth="1"/>
    <col min="37" max="37" width="35" style="121" customWidth="1"/>
    <col min="38" max="38" width="31" style="121" customWidth="1"/>
    <col min="39" max="39" width="35" style="121" customWidth="1"/>
    <col min="40" max="40" width="31" style="121" customWidth="1"/>
    <col min="41" max="41" width="37.83203125" style="121" customWidth="1"/>
    <col min="42" max="42" width="11.5" style="121" customWidth="1"/>
    <col min="43" max="43" width="54" style="121" customWidth="1"/>
    <col min="44" max="44" width="43.5" style="121" customWidth="1"/>
    <col min="45" max="45" width="44.6640625" style="121" customWidth="1"/>
    <col min="46" max="255" width="6.33203125" style="121"/>
    <col min="256" max="257" width="2.1640625" style="121" customWidth="1"/>
    <col min="258" max="258" width="0" style="121" hidden="1" customWidth="1"/>
    <col min="259" max="261" width="12.83203125" style="121" customWidth="1"/>
    <col min="262" max="262" width="12" style="121" customWidth="1"/>
    <col min="263" max="263" width="12.33203125" style="121" customWidth="1"/>
    <col min="264" max="264" width="13.5" style="121" customWidth="1"/>
    <col min="265" max="265" width="0" style="121" hidden="1" customWidth="1"/>
    <col min="266" max="268" width="13" style="121" customWidth="1"/>
    <col min="269" max="269" width="14.83203125" style="121" customWidth="1"/>
    <col min="270" max="270" width="13.33203125" style="121" customWidth="1"/>
    <col min="271" max="271" width="13.5" style="121" customWidth="1"/>
    <col min="272" max="272" width="2.1640625" style="121" customWidth="1"/>
    <col min="273" max="273" width="13.83203125" style="121" customWidth="1"/>
    <col min="274" max="274" width="10.6640625" style="121" customWidth="1"/>
    <col min="275" max="275" width="12" style="121" customWidth="1"/>
    <col min="276" max="276" width="11.5" style="121" customWidth="1"/>
    <col min="277" max="277" width="16" style="121" customWidth="1"/>
    <col min="278" max="279" width="10.6640625" style="121" customWidth="1"/>
    <col min="280" max="280" width="15.5" style="121" customWidth="1"/>
    <col min="281" max="281" width="11.5" style="121" customWidth="1"/>
    <col min="282" max="282" width="12" style="121" customWidth="1"/>
    <col min="283" max="283" width="11.5" style="121" customWidth="1"/>
    <col min="284" max="284" width="12" style="121" customWidth="1"/>
    <col min="285" max="285" width="11.5" style="121" customWidth="1"/>
    <col min="286" max="286" width="12.83203125" style="121" customWidth="1"/>
    <col min="287" max="287" width="10.6640625" style="121" customWidth="1"/>
    <col min="288" max="288" width="19" style="121" customWidth="1"/>
    <col min="289" max="289" width="13.33203125" style="121" customWidth="1"/>
    <col min="290" max="290" width="18" style="121" customWidth="1"/>
    <col min="291" max="291" width="42.5" style="121" customWidth="1"/>
    <col min="292" max="292" width="31" style="121" customWidth="1"/>
    <col min="293" max="293" width="35" style="121" customWidth="1"/>
    <col min="294" max="294" width="31" style="121" customWidth="1"/>
    <col min="295" max="295" width="35" style="121" customWidth="1"/>
    <col min="296" max="296" width="31" style="121" customWidth="1"/>
    <col min="297" max="297" width="37.83203125" style="121" customWidth="1"/>
    <col min="298" max="298" width="11.5" style="121" customWidth="1"/>
    <col min="299" max="299" width="54" style="121" customWidth="1"/>
    <col min="300" max="300" width="43.5" style="121" customWidth="1"/>
    <col min="301" max="301" width="44.6640625" style="121" customWidth="1"/>
    <col min="302" max="511" width="6.33203125" style="121"/>
    <col min="512" max="513" width="2.1640625" style="121" customWidth="1"/>
    <col min="514" max="514" width="0" style="121" hidden="1" customWidth="1"/>
    <col min="515" max="517" width="12.83203125" style="121" customWidth="1"/>
    <col min="518" max="518" width="12" style="121" customWidth="1"/>
    <col min="519" max="519" width="12.33203125" style="121" customWidth="1"/>
    <col min="520" max="520" width="13.5" style="121" customWidth="1"/>
    <col min="521" max="521" width="0" style="121" hidden="1" customWidth="1"/>
    <col min="522" max="524" width="13" style="121" customWidth="1"/>
    <col min="525" max="525" width="14.83203125" style="121" customWidth="1"/>
    <col min="526" max="526" width="13.33203125" style="121" customWidth="1"/>
    <col min="527" max="527" width="13.5" style="121" customWidth="1"/>
    <col min="528" max="528" width="2.1640625" style="121" customWidth="1"/>
    <col min="529" max="529" width="13.83203125" style="121" customWidth="1"/>
    <col min="530" max="530" width="10.6640625" style="121" customWidth="1"/>
    <col min="531" max="531" width="12" style="121" customWidth="1"/>
    <col min="532" max="532" width="11.5" style="121" customWidth="1"/>
    <col min="533" max="533" width="16" style="121" customWidth="1"/>
    <col min="534" max="535" width="10.6640625" style="121" customWidth="1"/>
    <col min="536" max="536" width="15.5" style="121" customWidth="1"/>
    <col min="537" max="537" width="11.5" style="121" customWidth="1"/>
    <col min="538" max="538" width="12" style="121" customWidth="1"/>
    <col min="539" max="539" width="11.5" style="121" customWidth="1"/>
    <col min="540" max="540" width="12" style="121" customWidth="1"/>
    <col min="541" max="541" width="11.5" style="121" customWidth="1"/>
    <col min="542" max="542" width="12.83203125" style="121" customWidth="1"/>
    <col min="543" max="543" width="10.6640625" style="121" customWidth="1"/>
    <col min="544" max="544" width="19" style="121" customWidth="1"/>
    <col min="545" max="545" width="13.33203125" style="121" customWidth="1"/>
    <col min="546" max="546" width="18" style="121" customWidth="1"/>
    <col min="547" max="547" width="42.5" style="121" customWidth="1"/>
    <col min="548" max="548" width="31" style="121" customWidth="1"/>
    <col min="549" max="549" width="35" style="121" customWidth="1"/>
    <col min="550" max="550" width="31" style="121" customWidth="1"/>
    <col min="551" max="551" width="35" style="121" customWidth="1"/>
    <col min="552" max="552" width="31" style="121" customWidth="1"/>
    <col min="553" max="553" width="37.83203125" style="121" customWidth="1"/>
    <col min="554" max="554" width="11.5" style="121" customWidth="1"/>
    <col min="555" max="555" width="54" style="121" customWidth="1"/>
    <col min="556" max="556" width="43.5" style="121" customWidth="1"/>
    <col min="557" max="557" width="44.6640625" style="121" customWidth="1"/>
    <col min="558" max="767" width="6.33203125" style="121"/>
    <col min="768" max="769" width="2.1640625" style="121" customWidth="1"/>
    <col min="770" max="770" width="0" style="121" hidden="1" customWidth="1"/>
    <col min="771" max="773" width="12.83203125" style="121" customWidth="1"/>
    <col min="774" max="774" width="12" style="121" customWidth="1"/>
    <col min="775" max="775" width="12.33203125" style="121" customWidth="1"/>
    <col min="776" max="776" width="13.5" style="121" customWidth="1"/>
    <col min="777" max="777" width="0" style="121" hidden="1" customWidth="1"/>
    <col min="778" max="780" width="13" style="121" customWidth="1"/>
    <col min="781" max="781" width="14.83203125" style="121" customWidth="1"/>
    <col min="782" max="782" width="13.33203125" style="121" customWidth="1"/>
    <col min="783" max="783" width="13.5" style="121" customWidth="1"/>
    <col min="784" max="784" width="2.1640625" style="121" customWidth="1"/>
    <col min="785" max="785" width="13.83203125" style="121" customWidth="1"/>
    <col min="786" max="786" width="10.6640625" style="121" customWidth="1"/>
    <col min="787" max="787" width="12" style="121" customWidth="1"/>
    <col min="788" max="788" width="11.5" style="121" customWidth="1"/>
    <col min="789" max="789" width="16" style="121" customWidth="1"/>
    <col min="790" max="791" width="10.6640625" style="121" customWidth="1"/>
    <col min="792" max="792" width="15.5" style="121" customWidth="1"/>
    <col min="793" max="793" width="11.5" style="121" customWidth="1"/>
    <col min="794" max="794" width="12" style="121" customWidth="1"/>
    <col min="795" max="795" width="11.5" style="121" customWidth="1"/>
    <col min="796" max="796" width="12" style="121" customWidth="1"/>
    <col min="797" max="797" width="11.5" style="121" customWidth="1"/>
    <col min="798" max="798" width="12.83203125" style="121" customWidth="1"/>
    <col min="799" max="799" width="10.6640625" style="121" customWidth="1"/>
    <col min="800" max="800" width="19" style="121" customWidth="1"/>
    <col min="801" max="801" width="13.33203125" style="121" customWidth="1"/>
    <col min="802" max="802" width="18" style="121" customWidth="1"/>
    <col min="803" max="803" width="42.5" style="121" customWidth="1"/>
    <col min="804" max="804" width="31" style="121" customWidth="1"/>
    <col min="805" max="805" width="35" style="121" customWidth="1"/>
    <col min="806" max="806" width="31" style="121" customWidth="1"/>
    <col min="807" max="807" width="35" style="121" customWidth="1"/>
    <col min="808" max="808" width="31" style="121" customWidth="1"/>
    <col min="809" max="809" width="37.83203125" style="121" customWidth="1"/>
    <col min="810" max="810" width="11.5" style="121" customWidth="1"/>
    <col min="811" max="811" width="54" style="121" customWidth="1"/>
    <col min="812" max="812" width="43.5" style="121" customWidth="1"/>
    <col min="813" max="813" width="44.6640625" style="121" customWidth="1"/>
    <col min="814" max="1023" width="6.33203125" style="121"/>
    <col min="1024" max="1025" width="2.1640625" style="121" customWidth="1"/>
    <col min="1026" max="1026" width="0" style="121" hidden="1" customWidth="1"/>
    <col min="1027" max="1029" width="12.83203125" style="121" customWidth="1"/>
    <col min="1030" max="1030" width="12" style="121" customWidth="1"/>
    <col min="1031" max="1031" width="12.33203125" style="121" customWidth="1"/>
    <col min="1032" max="1032" width="13.5" style="121" customWidth="1"/>
    <col min="1033" max="1033" width="0" style="121" hidden="1" customWidth="1"/>
    <col min="1034" max="1036" width="13" style="121" customWidth="1"/>
    <col min="1037" max="1037" width="14.83203125" style="121" customWidth="1"/>
    <col min="1038" max="1038" width="13.33203125" style="121" customWidth="1"/>
    <col min="1039" max="1039" width="13.5" style="121" customWidth="1"/>
    <col min="1040" max="1040" width="2.1640625" style="121" customWidth="1"/>
    <col min="1041" max="1041" width="13.83203125" style="121" customWidth="1"/>
    <col min="1042" max="1042" width="10.6640625" style="121" customWidth="1"/>
    <col min="1043" max="1043" width="12" style="121" customWidth="1"/>
    <col min="1044" max="1044" width="11.5" style="121" customWidth="1"/>
    <col min="1045" max="1045" width="16" style="121" customWidth="1"/>
    <col min="1046" max="1047" width="10.6640625" style="121" customWidth="1"/>
    <col min="1048" max="1048" width="15.5" style="121" customWidth="1"/>
    <col min="1049" max="1049" width="11.5" style="121" customWidth="1"/>
    <col min="1050" max="1050" width="12" style="121" customWidth="1"/>
    <col min="1051" max="1051" width="11.5" style="121" customWidth="1"/>
    <col min="1052" max="1052" width="12" style="121" customWidth="1"/>
    <col min="1053" max="1053" width="11.5" style="121" customWidth="1"/>
    <col min="1054" max="1054" width="12.83203125" style="121" customWidth="1"/>
    <col min="1055" max="1055" width="10.6640625" style="121" customWidth="1"/>
    <col min="1056" max="1056" width="19" style="121" customWidth="1"/>
    <col min="1057" max="1057" width="13.33203125" style="121" customWidth="1"/>
    <col min="1058" max="1058" width="18" style="121" customWidth="1"/>
    <col min="1059" max="1059" width="42.5" style="121" customWidth="1"/>
    <col min="1060" max="1060" width="31" style="121" customWidth="1"/>
    <col min="1061" max="1061" width="35" style="121" customWidth="1"/>
    <col min="1062" max="1062" width="31" style="121" customWidth="1"/>
    <col min="1063" max="1063" width="35" style="121" customWidth="1"/>
    <col min="1064" max="1064" width="31" style="121" customWidth="1"/>
    <col min="1065" max="1065" width="37.83203125" style="121" customWidth="1"/>
    <col min="1066" max="1066" width="11.5" style="121" customWidth="1"/>
    <col min="1067" max="1067" width="54" style="121" customWidth="1"/>
    <col min="1068" max="1068" width="43.5" style="121" customWidth="1"/>
    <col min="1069" max="1069" width="44.6640625" style="121" customWidth="1"/>
    <col min="1070" max="1279" width="6.33203125" style="121"/>
    <col min="1280" max="1281" width="2.1640625" style="121" customWidth="1"/>
    <col min="1282" max="1282" width="0" style="121" hidden="1" customWidth="1"/>
    <col min="1283" max="1285" width="12.83203125" style="121" customWidth="1"/>
    <col min="1286" max="1286" width="12" style="121" customWidth="1"/>
    <col min="1287" max="1287" width="12.33203125" style="121" customWidth="1"/>
    <col min="1288" max="1288" width="13.5" style="121" customWidth="1"/>
    <col min="1289" max="1289" width="0" style="121" hidden="1" customWidth="1"/>
    <col min="1290" max="1292" width="13" style="121" customWidth="1"/>
    <col min="1293" max="1293" width="14.83203125" style="121" customWidth="1"/>
    <col min="1294" max="1294" width="13.33203125" style="121" customWidth="1"/>
    <col min="1295" max="1295" width="13.5" style="121" customWidth="1"/>
    <col min="1296" max="1296" width="2.1640625" style="121" customWidth="1"/>
    <col min="1297" max="1297" width="13.83203125" style="121" customWidth="1"/>
    <col min="1298" max="1298" width="10.6640625" style="121" customWidth="1"/>
    <col min="1299" max="1299" width="12" style="121" customWidth="1"/>
    <col min="1300" max="1300" width="11.5" style="121" customWidth="1"/>
    <col min="1301" max="1301" width="16" style="121" customWidth="1"/>
    <col min="1302" max="1303" width="10.6640625" style="121" customWidth="1"/>
    <col min="1304" max="1304" width="15.5" style="121" customWidth="1"/>
    <col min="1305" max="1305" width="11.5" style="121" customWidth="1"/>
    <col min="1306" max="1306" width="12" style="121" customWidth="1"/>
    <col min="1307" max="1307" width="11.5" style="121" customWidth="1"/>
    <col min="1308" max="1308" width="12" style="121" customWidth="1"/>
    <col min="1309" max="1309" width="11.5" style="121" customWidth="1"/>
    <col min="1310" max="1310" width="12.83203125" style="121" customWidth="1"/>
    <col min="1311" max="1311" width="10.6640625" style="121" customWidth="1"/>
    <col min="1312" max="1312" width="19" style="121" customWidth="1"/>
    <col min="1313" max="1313" width="13.33203125" style="121" customWidth="1"/>
    <col min="1314" max="1314" width="18" style="121" customWidth="1"/>
    <col min="1315" max="1315" width="42.5" style="121" customWidth="1"/>
    <col min="1316" max="1316" width="31" style="121" customWidth="1"/>
    <col min="1317" max="1317" width="35" style="121" customWidth="1"/>
    <col min="1318" max="1318" width="31" style="121" customWidth="1"/>
    <col min="1319" max="1319" width="35" style="121" customWidth="1"/>
    <col min="1320" max="1320" width="31" style="121" customWidth="1"/>
    <col min="1321" max="1321" width="37.83203125" style="121" customWidth="1"/>
    <col min="1322" max="1322" width="11.5" style="121" customWidth="1"/>
    <col min="1323" max="1323" width="54" style="121" customWidth="1"/>
    <col min="1324" max="1324" width="43.5" style="121" customWidth="1"/>
    <col min="1325" max="1325" width="44.6640625" style="121" customWidth="1"/>
    <col min="1326" max="1535" width="6.33203125" style="121"/>
    <col min="1536" max="1537" width="2.1640625" style="121" customWidth="1"/>
    <col min="1538" max="1538" width="0" style="121" hidden="1" customWidth="1"/>
    <col min="1539" max="1541" width="12.83203125" style="121" customWidth="1"/>
    <col min="1542" max="1542" width="12" style="121" customWidth="1"/>
    <col min="1543" max="1543" width="12.33203125" style="121" customWidth="1"/>
    <col min="1544" max="1544" width="13.5" style="121" customWidth="1"/>
    <col min="1545" max="1545" width="0" style="121" hidden="1" customWidth="1"/>
    <col min="1546" max="1548" width="13" style="121" customWidth="1"/>
    <col min="1549" max="1549" width="14.83203125" style="121" customWidth="1"/>
    <col min="1550" max="1550" width="13.33203125" style="121" customWidth="1"/>
    <col min="1551" max="1551" width="13.5" style="121" customWidth="1"/>
    <col min="1552" max="1552" width="2.1640625" style="121" customWidth="1"/>
    <col min="1553" max="1553" width="13.83203125" style="121" customWidth="1"/>
    <col min="1554" max="1554" width="10.6640625" style="121" customWidth="1"/>
    <col min="1555" max="1555" width="12" style="121" customWidth="1"/>
    <col min="1556" max="1556" width="11.5" style="121" customWidth="1"/>
    <col min="1557" max="1557" width="16" style="121" customWidth="1"/>
    <col min="1558" max="1559" width="10.6640625" style="121" customWidth="1"/>
    <col min="1560" max="1560" width="15.5" style="121" customWidth="1"/>
    <col min="1561" max="1561" width="11.5" style="121" customWidth="1"/>
    <col min="1562" max="1562" width="12" style="121" customWidth="1"/>
    <col min="1563" max="1563" width="11.5" style="121" customWidth="1"/>
    <col min="1564" max="1564" width="12" style="121" customWidth="1"/>
    <col min="1565" max="1565" width="11.5" style="121" customWidth="1"/>
    <col min="1566" max="1566" width="12.83203125" style="121" customWidth="1"/>
    <col min="1567" max="1567" width="10.6640625" style="121" customWidth="1"/>
    <col min="1568" max="1568" width="19" style="121" customWidth="1"/>
    <col min="1569" max="1569" width="13.33203125" style="121" customWidth="1"/>
    <col min="1570" max="1570" width="18" style="121" customWidth="1"/>
    <col min="1571" max="1571" width="42.5" style="121" customWidth="1"/>
    <col min="1572" max="1572" width="31" style="121" customWidth="1"/>
    <col min="1573" max="1573" width="35" style="121" customWidth="1"/>
    <col min="1574" max="1574" width="31" style="121" customWidth="1"/>
    <col min="1575" max="1575" width="35" style="121" customWidth="1"/>
    <col min="1576" max="1576" width="31" style="121" customWidth="1"/>
    <col min="1577" max="1577" width="37.83203125" style="121" customWidth="1"/>
    <col min="1578" max="1578" width="11.5" style="121" customWidth="1"/>
    <col min="1579" max="1579" width="54" style="121" customWidth="1"/>
    <col min="1580" max="1580" width="43.5" style="121" customWidth="1"/>
    <col min="1581" max="1581" width="44.6640625" style="121" customWidth="1"/>
    <col min="1582" max="1791" width="6.33203125" style="121"/>
    <col min="1792" max="1793" width="2.1640625" style="121" customWidth="1"/>
    <col min="1794" max="1794" width="0" style="121" hidden="1" customWidth="1"/>
    <col min="1795" max="1797" width="12.83203125" style="121" customWidth="1"/>
    <col min="1798" max="1798" width="12" style="121" customWidth="1"/>
    <col min="1799" max="1799" width="12.33203125" style="121" customWidth="1"/>
    <col min="1800" max="1800" width="13.5" style="121" customWidth="1"/>
    <col min="1801" max="1801" width="0" style="121" hidden="1" customWidth="1"/>
    <col min="1802" max="1804" width="13" style="121" customWidth="1"/>
    <col min="1805" max="1805" width="14.83203125" style="121" customWidth="1"/>
    <col min="1806" max="1806" width="13.33203125" style="121" customWidth="1"/>
    <col min="1807" max="1807" width="13.5" style="121" customWidth="1"/>
    <col min="1808" max="1808" width="2.1640625" style="121" customWidth="1"/>
    <col min="1809" max="1809" width="13.83203125" style="121" customWidth="1"/>
    <col min="1810" max="1810" width="10.6640625" style="121" customWidth="1"/>
    <col min="1811" max="1811" width="12" style="121" customWidth="1"/>
    <col min="1812" max="1812" width="11.5" style="121" customWidth="1"/>
    <col min="1813" max="1813" width="16" style="121" customWidth="1"/>
    <col min="1814" max="1815" width="10.6640625" style="121" customWidth="1"/>
    <col min="1816" max="1816" width="15.5" style="121" customWidth="1"/>
    <col min="1817" max="1817" width="11.5" style="121" customWidth="1"/>
    <col min="1818" max="1818" width="12" style="121" customWidth="1"/>
    <col min="1819" max="1819" width="11.5" style="121" customWidth="1"/>
    <col min="1820" max="1820" width="12" style="121" customWidth="1"/>
    <col min="1821" max="1821" width="11.5" style="121" customWidth="1"/>
    <col min="1822" max="1822" width="12.83203125" style="121" customWidth="1"/>
    <col min="1823" max="1823" width="10.6640625" style="121" customWidth="1"/>
    <col min="1824" max="1824" width="19" style="121" customWidth="1"/>
    <col min="1825" max="1825" width="13.33203125" style="121" customWidth="1"/>
    <col min="1826" max="1826" width="18" style="121" customWidth="1"/>
    <col min="1827" max="1827" width="42.5" style="121" customWidth="1"/>
    <col min="1828" max="1828" width="31" style="121" customWidth="1"/>
    <col min="1829" max="1829" width="35" style="121" customWidth="1"/>
    <col min="1830" max="1830" width="31" style="121" customWidth="1"/>
    <col min="1831" max="1831" width="35" style="121" customWidth="1"/>
    <col min="1832" max="1832" width="31" style="121" customWidth="1"/>
    <col min="1833" max="1833" width="37.83203125" style="121" customWidth="1"/>
    <col min="1834" max="1834" width="11.5" style="121" customWidth="1"/>
    <col min="1835" max="1835" width="54" style="121" customWidth="1"/>
    <col min="1836" max="1836" width="43.5" style="121" customWidth="1"/>
    <col min="1837" max="1837" width="44.6640625" style="121" customWidth="1"/>
    <col min="1838" max="2047" width="6.33203125" style="121"/>
    <col min="2048" max="2049" width="2.1640625" style="121" customWidth="1"/>
    <col min="2050" max="2050" width="0" style="121" hidden="1" customWidth="1"/>
    <col min="2051" max="2053" width="12.83203125" style="121" customWidth="1"/>
    <col min="2054" max="2054" width="12" style="121" customWidth="1"/>
    <col min="2055" max="2055" width="12.33203125" style="121" customWidth="1"/>
    <col min="2056" max="2056" width="13.5" style="121" customWidth="1"/>
    <col min="2057" max="2057" width="0" style="121" hidden="1" customWidth="1"/>
    <col min="2058" max="2060" width="13" style="121" customWidth="1"/>
    <col min="2061" max="2061" width="14.83203125" style="121" customWidth="1"/>
    <col min="2062" max="2062" width="13.33203125" style="121" customWidth="1"/>
    <col min="2063" max="2063" width="13.5" style="121" customWidth="1"/>
    <col min="2064" max="2064" width="2.1640625" style="121" customWidth="1"/>
    <col min="2065" max="2065" width="13.83203125" style="121" customWidth="1"/>
    <col min="2066" max="2066" width="10.6640625" style="121" customWidth="1"/>
    <col min="2067" max="2067" width="12" style="121" customWidth="1"/>
    <col min="2068" max="2068" width="11.5" style="121" customWidth="1"/>
    <col min="2069" max="2069" width="16" style="121" customWidth="1"/>
    <col min="2070" max="2071" width="10.6640625" style="121" customWidth="1"/>
    <col min="2072" max="2072" width="15.5" style="121" customWidth="1"/>
    <col min="2073" max="2073" width="11.5" style="121" customWidth="1"/>
    <col min="2074" max="2074" width="12" style="121" customWidth="1"/>
    <col min="2075" max="2075" width="11.5" style="121" customWidth="1"/>
    <col min="2076" max="2076" width="12" style="121" customWidth="1"/>
    <col min="2077" max="2077" width="11.5" style="121" customWidth="1"/>
    <col min="2078" max="2078" width="12.83203125" style="121" customWidth="1"/>
    <col min="2079" max="2079" width="10.6640625" style="121" customWidth="1"/>
    <col min="2080" max="2080" width="19" style="121" customWidth="1"/>
    <col min="2081" max="2081" width="13.33203125" style="121" customWidth="1"/>
    <col min="2082" max="2082" width="18" style="121" customWidth="1"/>
    <col min="2083" max="2083" width="42.5" style="121" customWidth="1"/>
    <col min="2084" max="2084" width="31" style="121" customWidth="1"/>
    <col min="2085" max="2085" width="35" style="121" customWidth="1"/>
    <col min="2086" max="2086" width="31" style="121" customWidth="1"/>
    <col min="2087" max="2087" width="35" style="121" customWidth="1"/>
    <col min="2088" max="2088" width="31" style="121" customWidth="1"/>
    <col min="2089" max="2089" width="37.83203125" style="121" customWidth="1"/>
    <col min="2090" max="2090" width="11.5" style="121" customWidth="1"/>
    <col min="2091" max="2091" width="54" style="121" customWidth="1"/>
    <col min="2092" max="2092" width="43.5" style="121" customWidth="1"/>
    <col min="2093" max="2093" width="44.6640625" style="121" customWidth="1"/>
    <col min="2094" max="2303" width="6.33203125" style="121"/>
    <col min="2304" max="2305" width="2.1640625" style="121" customWidth="1"/>
    <col min="2306" max="2306" width="0" style="121" hidden="1" customWidth="1"/>
    <col min="2307" max="2309" width="12.83203125" style="121" customWidth="1"/>
    <col min="2310" max="2310" width="12" style="121" customWidth="1"/>
    <col min="2311" max="2311" width="12.33203125" style="121" customWidth="1"/>
    <col min="2312" max="2312" width="13.5" style="121" customWidth="1"/>
    <col min="2313" max="2313" width="0" style="121" hidden="1" customWidth="1"/>
    <col min="2314" max="2316" width="13" style="121" customWidth="1"/>
    <col min="2317" max="2317" width="14.83203125" style="121" customWidth="1"/>
    <col min="2318" max="2318" width="13.33203125" style="121" customWidth="1"/>
    <col min="2319" max="2319" width="13.5" style="121" customWidth="1"/>
    <col min="2320" max="2320" width="2.1640625" style="121" customWidth="1"/>
    <col min="2321" max="2321" width="13.83203125" style="121" customWidth="1"/>
    <col min="2322" max="2322" width="10.6640625" style="121" customWidth="1"/>
    <col min="2323" max="2323" width="12" style="121" customWidth="1"/>
    <col min="2324" max="2324" width="11.5" style="121" customWidth="1"/>
    <col min="2325" max="2325" width="16" style="121" customWidth="1"/>
    <col min="2326" max="2327" width="10.6640625" style="121" customWidth="1"/>
    <col min="2328" max="2328" width="15.5" style="121" customWidth="1"/>
    <col min="2329" max="2329" width="11.5" style="121" customWidth="1"/>
    <col min="2330" max="2330" width="12" style="121" customWidth="1"/>
    <col min="2331" max="2331" width="11.5" style="121" customWidth="1"/>
    <col min="2332" max="2332" width="12" style="121" customWidth="1"/>
    <col min="2333" max="2333" width="11.5" style="121" customWidth="1"/>
    <col min="2334" max="2334" width="12.83203125" style="121" customWidth="1"/>
    <col min="2335" max="2335" width="10.6640625" style="121" customWidth="1"/>
    <col min="2336" max="2336" width="19" style="121" customWidth="1"/>
    <col min="2337" max="2337" width="13.33203125" style="121" customWidth="1"/>
    <col min="2338" max="2338" width="18" style="121" customWidth="1"/>
    <col min="2339" max="2339" width="42.5" style="121" customWidth="1"/>
    <col min="2340" max="2340" width="31" style="121" customWidth="1"/>
    <col min="2341" max="2341" width="35" style="121" customWidth="1"/>
    <col min="2342" max="2342" width="31" style="121" customWidth="1"/>
    <col min="2343" max="2343" width="35" style="121" customWidth="1"/>
    <col min="2344" max="2344" width="31" style="121" customWidth="1"/>
    <col min="2345" max="2345" width="37.83203125" style="121" customWidth="1"/>
    <col min="2346" max="2346" width="11.5" style="121" customWidth="1"/>
    <col min="2347" max="2347" width="54" style="121" customWidth="1"/>
    <col min="2348" max="2348" width="43.5" style="121" customWidth="1"/>
    <col min="2349" max="2349" width="44.6640625" style="121" customWidth="1"/>
    <col min="2350" max="2559" width="6.33203125" style="121"/>
    <col min="2560" max="2561" width="2.1640625" style="121" customWidth="1"/>
    <col min="2562" max="2562" width="0" style="121" hidden="1" customWidth="1"/>
    <col min="2563" max="2565" width="12.83203125" style="121" customWidth="1"/>
    <col min="2566" max="2566" width="12" style="121" customWidth="1"/>
    <col min="2567" max="2567" width="12.33203125" style="121" customWidth="1"/>
    <col min="2568" max="2568" width="13.5" style="121" customWidth="1"/>
    <col min="2569" max="2569" width="0" style="121" hidden="1" customWidth="1"/>
    <col min="2570" max="2572" width="13" style="121" customWidth="1"/>
    <col min="2573" max="2573" width="14.83203125" style="121" customWidth="1"/>
    <col min="2574" max="2574" width="13.33203125" style="121" customWidth="1"/>
    <col min="2575" max="2575" width="13.5" style="121" customWidth="1"/>
    <col min="2576" max="2576" width="2.1640625" style="121" customWidth="1"/>
    <col min="2577" max="2577" width="13.83203125" style="121" customWidth="1"/>
    <col min="2578" max="2578" width="10.6640625" style="121" customWidth="1"/>
    <col min="2579" max="2579" width="12" style="121" customWidth="1"/>
    <col min="2580" max="2580" width="11.5" style="121" customWidth="1"/>
    <col min="2581" max="2581" width="16" style="121" customWidth="1"/>
    <col min="2582" max="2583" width="10.6640625" style="121" customWidth="1"/>
    <col min="2584" max="2584" width="15.5" style="121" customWidth="1"/>
    <col min="2585" max="2585" width="11.5" style="121" customWidth="1"/>
    <col min="2586" max="2586" width="12" style="121" customWidth="1"/>
    <col min="2587" max="2587" width="11.5" style="121" customWidth="1"/>
    <col min="2588" max="2588" width="12" style="121" customWidth="1"/>
    <col min="2589" max="2589" width="11.5" style="121" customWidth="1"/>
    <col min="2590" max="2590" width="12.83203125" style="121" customWidth="1"/>
    <col min="2591" max="2591" width="10.6640625" style="121" customWidth="1"/>
    <col min="2592" max="2592" width="19" style="121" customWidth="1"/>
    <col min="2593" max="2593" width="13.33203125" style="121" customWidth="1"/>
    <col min="2594" max="2594" width="18" style="121" customWidth="1"/>
    <col min="2595" max="2595" width="42.5" style="121" customWidth="1"/>
    <col min="2596" max="2596" width="31" style="121" customWidth="1"/>
    <col min="2597" max="2597" width="35" style="121" customWidth="1"/>
    <col min="2598" max="2598" width="31" style="121" customWidth="1"/>
    <col min="2599" max="2599" width="35" style="121" customWidth="1"/>
    <col min="2600" max="2600" width="31" style="121" customWidth="1"/>
    <col min="2601" max="2601" width="37.83203125" style="121" customWidth="1"/>
    <col min="2602" max="2602" width="11.5" style="121" customWidth="1"/>
    <col min="2603" max="2603" width="54" style="121" customWidth="1"/>
    <col min="2604" max="2604" width="43.5" style="121" customWidth="1"/>
    <col min="2605" max="2605" width="44.6640625" style="121" customWidth="1"/>
    <col min="2606" max="2815" width="6.33203125" style="121"/>
    <col min="2816" max="2817" width="2.1640625" style="121" customWidth="1"/>
    <col min="2818" max="2818" width="0" style="121" hidden="1" customWidth="1"/>
    <col min="2819" max="2821" width="12.83203125" style="121" customWidth="1"/>
    <col min="2822" max="2822" width="12" style="121" customWidth="1"/>
    <col min="2823" max="2823" width="12.33203125" style="121" customWidth="1"/>
    <col min="2824" max="2824" width="13.5" style="121" customWidth="1"/>
    <col min="2825" max="2825" width="0" style="121" hidden="1" customWidth="1"/>
    <col min="2826" max="2828" width="13" style="121" customWidth="1"/>
    <col min="2829" max="2829" width="14.83203125" style="121" customWidth="1"/>
    <col min="2830" max="2830" width="13.33203125" style="121" customWidth="1"/>
    <col min="2831" max="2831" width="13.5" style="121" customWidth="1"/>
    <col min="2832" max="2832" width="2.1640625" style="121" customWidth="1"/>
    <col min="2833" max="2833" width="13.83203125" style="121" customWidth="1"/>
    <col min="2834" max="2834" width="10.6640625" style="121" customWidth="1"/>
    <col min="2835" max="2835" width="12" style="121" customWidth="1"/>
    <col min="2836" max="2836" width="11.5" style="121" customWidth="1"/>
    <col min="2837" max="2837" width="16" style="121" customWidth="1"/>
    <col min="2838" max="2839" width="10.6640625" style="121" customWidth="1"/>
    <col min="2840" max="2840" width="15.5" style="121" customWidth="1"/>
    <col min="2841" max="2841" width="11.5" style="121" customWidth="1"/>
    <col min="2842" max="2842" width="12" style="121" customWidth="1"/>
    <col min="2843" max="2843" width="11.5" style="121" customWidth="1"/>
    <col min="2844" max="2844" width="12" style="121" customWidth="1"/>
    <col min="2845" max="2845" width="11.5" style="121" customWidth="1"/>
    <col min="2846" max="2846" width="12.83203125" style="121" customWidth="1"/>
    <col min="2847" max="2847" width="10.6640625" style="121" customWidth="1"/>
    <col min="2848" max="2848" width="19" style="121" customWidth="1"/>
    <col min="2849" max="2849" width="13.33203125" style="121" customWidth="1"/>
    <col min="2850" max="2850" width="18" style="121" customWidth="1"/>
    <col min="2851" max="2851" width="42.5" style="121" customWidth="1"/>
    <col min="2852" max="2852" width="31" style="121" customWidth="1"/>
    <col min="2853" max="2853" width="35" style="121" customWidth="1"/>
    <col min="2854" max="2854" width="31" style="121" customWidth="1"/>
    <col min="2855" max="2855" width="35" style="121" customWidth="1"/>
    <col min="2856" max="2856" width="31" style="121" customWidth="1"/>
    <col min="2857" max="2857" width="37.83203125" style="121" customWidth="1"/>
    <col min="2858" max="2858" width="11.5" style="121" customWidth="1"/>
    <col min="2859" max="2859" width="54" style="121" customWidth="1"/>
    <col min="2860" max="2860" width="43.5" style="121" customWidth="1"/>
    <col min="2861" max="2861" width="44.6640625" style="121" customWidth="1"/>
    <col min="2862" max="3071" width="6.33203125" style="121"/>
    <col min="3072" max="3073" width="2.1640625" style="121" customWidth="1"/>
    <col min="3074" max="3074" width="0" style="121" hidden="1" customWidth="1"/>
    <col min="3075" max="3077" width="12.83203125" style="121" customWidth="1"/>
    <col min="3078" max="3078" width="12" style="121" customWidth="1"/>
    <col min="3079" max="3079" width="12.33203125" style="121" customWidth="1"/>
    <col min="3080" max="3080" width="13.5" style="121" customWidth="1"/>
    <col min="3081" max="3081" width="0" style="121" hidden="1" customWidth="1"/>
    <col min="3082" max="3084" width="13" style="121" customWidth="1"/>
    <col min="3085" max="3085" width="14.83203125" style="121" customWidth="1"/>
    <col min="3086" max="3086" width="13.33203125" style="121" customWidth="1"/>
    <col min="3087" max="3087" width="13.5" style="121" customWidth="1"/>
    <col min="3088" max="3088" width="2.1640625" style="121" customWidth="1"/>
    <col min="3089" max="3089" width="13.83203125" style="121" customWidth="1"/>
    <col min="3090" max="3090" width="10.6640625" style="121" customWidth="1"/>
    <col min="3091" max="3091" width="12" style="121" customWidth="1"/>
    <col min="3092" max="3092" width="11.5" style="121" customWidth="1"/>
    <col min="3093" max="3093" width="16" style="121" customWidth="1"/>
    <col min="3094" max="3095" width="10.6640625" style="121" customWidth="1"/>
    <col min="3096" max="3096" width="15.5" style="121" customWidth="1"/>
    <col min="3097" max="3097" width="11.5" style="121" customWidth="1"/>
    <col min="3098" max="3098" width="12" style="121" customWidth="1"/>
    <col min="3099" max="3099" width="11.5" style="121" customWidth="1"/>
    <col min="3100" max="3100" width="12" style="121" customWidth="1"/>
    <col min="3101" max="3101" width="11.5" style="121" customWidth="1"/>
    <col min="3102" max="3102" width="12.83203125" style="121" customWidth="1"/>
    <col min="3103" max="3103" width="10.6640625" style="121" customWidth="1"/>
    <col min="3104" max="3104" width="19" style="121" customWidth="1"/>
    <col min="3105" max="3105" width="13.33203125" style="121" customWidth="1"/>
    <col min="3106" max="3106" width="18" style="121" customWidth="1"/>
    <col min="3107" max="3107" width="42.5" style="121" customWidth="1"/>
    <col min="3108" max="3108" width="31" style="121" customWidth="1"/>
    <col min="3109" max="3109" width="35" style="121" customWidth="1"/>
    <col min="3110" max="3110" width="31" style="121" customWidth="1"/>
    <col min="3111" max="3111" width="35" style="121" customWidth="1"/>
    <col min="3112" max="3112" width="31" style="121" customWidth="1"/>
    <col min="3113" max="3113" width="37.83203125" style="121" customWidth="1"/>
    <col min="3114" max="3114" width="11.5" style="121" customWidth="1"/>
    <col min="3115" max="3115" width="54" style="121" customWidth="1"/>
    <col min="3116" max="3116" width="43.5" style="121" customWidth="1"/>
    <col min="3117" max="3117" width="44.6640625" style="121" customWidth="1"/>
    <col min="3118" max="3327" width="6.33203125" style="121"/>
    <col min="3328" max="3329" width="2.1640625" style="121" customWidth="1"/>
    <col min="3330" max="3330" width="0" style="121" hidden="1" customWidth="1"/>
    <col min="3331" max="3333" width="12.83203125" style="121" customWidth="1"/>
    <col min="3334" max="3334" width="12" style="121" customWidth="1"/>
    <col min="3335" max="3335" width="12.33203125" style="121" customWidth="1"/>
    <col min="3336" max="3336" width="13.5" style="121" customWidth="1"/>
    <col min="3337" max="3337" width="0" style="121" hidden="1" customWidth="1"/>
    <col min="3338" max="3340" width="13" style="121" customWidth="1"/>
    <col min="3341" max="3341" width="14.83203125" style="121" customWidth="1"/>
    <col min="3342" max="3342" width="13.33203125" style="121" customWidth="1"/>
    <col min="3343" max="3343" width="13.5" style="121" customWidth="1"/>
    <col min="3344" max="3344" width="2.1640625" style="121" customWidth="1"/>
    <col min="3345" max="3345" width="13.83203125" style="121" customWidth="1"/>
    <col min="3346" max="3346" width="10.6640625" style="121" customWidth="1"/>
    <col min="3347" max="3347" width="12" style="121" customWidth="1"/>
    <col min="3348" max="3348" width="11.5" style="121" customWidth="1"/>
    <col min="3349" max="3349" width="16" style="121" customWidth="1"/>
    <col min="3350" max="3351" width="10.6640625" style="121" customWidth="1"/>
    <col min="3352" max="3352" width="15.5" style="121" customWidth="1"/>
    <col min="3353" max="3353" width="11.5" style="121" customWidth="1"/>
    <col min="3354" max="3354" width="12" style="121" customWidth="1"/>
    <col min="3355" max="3355" width="11.5" style="121" customWidth="1"/>
    <col min="3356" max="3356" width="12" style="121" customWidth="1"/>
    <col min="3357" max="3357" width="11.5" style="121" customWidth="1"/>
    <col min="3358" max="3358" width="12.83203125" style="121" customWidth="1"/>
    <col min="3359" max="3359" width="10.6640625" style="121" customWidth="1"/>
    <col min="3360" max="3360" width="19" style="121" customWidth="1"/>
    <col min="3361" max="3361" width="13.33203125" style="121" customWidth="1"/>
    <col min="3362" max="3362" width="18" style="121" customWidth="1"/>
    <col min="3363" max="3363" width="42.5" style="121" customWidth="1"/>
    <col min="3364" max="3364" width="31" style="121" customWidth="1"/>
    <col min="3365" max="3365" width="35" style="121" customWidth="1"/>
    <col min="3366" max="3366" width="31" style="121" customWidth="1"/>
    <col min="3367" max="3367" width="35" style="121" customWidth="1"/>
    <col min="3368" max="3368" width="31" style="121" customWidth="1"/>
    <col min="3369" max="3369" width="37.83203125" style="121" customWidth="1"/>
    <col min="3370" max="3370" width="11.5" style="121" customWidth="1"/>
    <col min="3371" max="3371" width="54" style="121" customWidth="1"/>
    <col min="3372" max="3372" width="43.5" style="121" customWidth="1"/>
    <col min="3373" max="3373" width="44.6640625" style="121" customWidth="1"/>
    <col min="3374" max="3583" width="6.33203125" style="121"/>
    <col min="3584" max="3585" width="2.1640625" style="121" customWidth="1"/>
    <col min="3586" max="3586" width="0" style="121" hidden="1" customWidth="1"/>
    <col min="3587" max="3589" width="12.83203125" style="121" customWidth="1"/>
    <col min="3590" max="3590" width="12" style="121" customWidth="1"/>
    <col min="3591" max="3591" width="12.33203125" style="121" customWidth="1"/>
    <col min="3592" max="3592" width="13.5" style="121" customWidth="1"/>
    <col min="3593" max="3593" width="0" style="121" hidden="1" customWidth="1"/>
    <col min="3594" max="3596" width="13" style="121" customWidth="1"/>
    <col min="3597" max="3597" width="14.83203125" style="121" customWidth="1"/>
    <col min="3598" max="3598" width="13.33203125" style="121" customWidth="1"/>
    <col min="3599" max="3599" width="13.5" style="121" customWidth="1"/>
    <col min="3600" max="3600" width="2.1640625" style="121" customWidth="1"/>
    <col min="3601" max="3601" width="13.83203125" style="121" customWidth="1"/>
    <col min="3602" max="3602" width="10.6640625" style="121" customWidth="1"/>
    <col min="3603" max="3603" width="12" style="121" customWidth="1"/>
    <col min="3604" max="3604" width="11.5" style="121" customWidth="1"/>
    <col min="3605" max="3605" width="16" style="121" customWidth="1"/>
    <col min="3606" max="3607" width="10.6640625" style="121" customWidth="1"/>
    <col min="3608" max="3608" width="15.5" style="121" customWidth="1"/>
    <col min="3609" max="3609" width="11.5" style="121" customWidth="1"/>
    <col min="3610" max="3610" width="12" style="121" customWidth="1"/>
    <col min="3611" max="3611" width="11.5" style="121" customWidth="1"/>
    <col min="3612" max="3612" width="12" style="121" customWidth="1"/>
    <col min="3613" max="3613" width="11.5" style="121" customWidth="1"/>
    <col min="3614" max="3614" width="12.83203125" style="121" customWidth="1"/>
    <col min="3615" max="3615" width="10.6640625" style="121" customWidth="1"/>
    <col min="3616" max="3616" width="19" style="121" customWidth="1"/>
    <col min="3617" max="3617" width="13.33203125" style="121" customWidth="1"/>
    <col min="3618" max="3618" width="18" style="121" customWidth="1"/>
    <col min="3619" max="3619" width="42.5" style="121" customWidth="1"/>
    <col min="3620" max="3620" width="31" style="121" customWidth="1"/>
    <col min="3621" max="3621" width="35" style="121" customWidth="1"/>
    <col min="3622" max="3622" width="31" style="121" customWidth="1"/>
    <col min="3623" max="3623" width="35" style="121" customWidth="1"/>
    <col min="3624" max="3624" width="31" style="121" customWidth="1"/>
    <col min="3625" max="3625" width="37.83203125" style="121" customWidth="1"/>
    <col min="3626" max="3626" width="11.5" style="121" customWidth="1"/>
    <col min="3627" max="3627" width="54" style="121" customWidth="1"/>
    <col min="3628" max="3628" width="43.5" style="121" customWidth="1"/>
    <col min="3629" max="3629" width="44.6640625" style="121" customWidth="1"/>
    <col min="3630" max="3839" width="6.33203125" style="121"/>
    <col min="3840" max="3841" width="2.1640625" style="121" customWidth="1"/>
    <col min="3842" max="3842" width="0" style="121" hidden="1" customWidth="1"/>
    <col min="3843" max="3845" width="12.83203125" style="121" customWidth="1"/>
    <col min="3846" max="3846" width="12" style="121" customWidth="1"/>
    <col min="3847" max="3847" width="12.33203125" style="121" customWidth="1"/>
    <col min="3848" max="3848" width="13.5" style="121" customWidth="1"/>
    <col min="3849" max="3849" width="0" style="121" hidden="1" customWidth="1"/>
    <col min="3850" max="3852" width="13" style="121" customWidth="1"/>
    <col min="3853" max="3853" width="14.83203125" style="121" customWidth="1"/>
    <col min="3854" max="3854" width="13.33203125" style="121" customWidth="1"/>
    <col min="3855" max="3855" width="13.5" style="121" customWidth="1"/>
    <col min="3856" max="3856" width="2.1640625" style="121" customWidth="1"/>
    <col min="3857" max="3857" width="13.83203125" style="121" customWidth="1"/>
    <col min="3858" max="3858" width="10.6640625" style="121" customWidth="1"/>
    <col min="3859" max="3859" width="12" style="121" customWidth="1"/>
    <col min="3860" max="3860" width="11.5" style="121" customWidth="1"/>
    <col min="3861" max="3861" width="16" style="121" customWidth="1"/>
    <col min="3862" max="3863" width="10.6640625" style="121" customWidth="1"/>
    <col min="3864" max="3864" width="15.5" style="121" customWidth="1"/>
    <col min="3865" max="3865" width="11.5" style="121" customWidth="1"/>
    <col min="3866" max="3866" width="12" style="121" customWidth="1"/>
    <col min="3867" max="3867" width="11.5" style="121" customWidth="1"/>
    <col min="3868" max="3868" width="12" style="121" customWidth="1"/>
    <col min="3869" max="3869" width="11.5" style="121" customWidth="1"/>
    <col min="3870" max="3870" width="12.83203125" style="121" customWidth="1"/>
    <col min="3871" max="3871" width="10.6640625" style="121" customWidth="1"/>
    <col min="3872" max="3872" width="19" style="121" customWidth="1"/>
    <col min="3873" max="3873" width="13.33203125" style="121" customWidth="1"/>
    <col min="3874" max="3874" width="18" style="121" customWidth="1"/>
    <col min="3875" max="3875" width="42.5" style="121" customWidth="1"/>
    <col min="3876" max="3876" width="31" style="121" customWidth="1"/>
    <col min="3877" max="3877" width="35" style="121" customWidth="1"/>
    <col min="3878" max="3878" width="31" style="121" customWidth="1"/>
    <col min="3879" max="3879" width="35" style="121" customWidth="1"/>
    <col min="3880" max="3880" width="31" style="121" customWidth="1"/>
    <col min="3881" max="3881" width="37.83203125" style="121" customWidth="1"/>
    <col min="3882" max="3882" width="11.5" style="121" customWidth="1"/>
    <col min="3883" max="3883" width="54" style="121" customWidth="1"/>
    <col min="3884" max="3884" width="43.5" style="121" customWidth="1"/>
    <col min="3885" max="3885" width="44.6640625" style="121" customWidth="1"/>
    <col min="3886" max="4095" width="6.33203125" style="121"/>
    <col min="4096" max="4097" width="2.1640625" style="121" customWidth="1"/>
    <col min="4098" max="4098" width="0" style="121" hidden="1" customWidth="1"/>
    <col min="4099" max="4101" width="12.83203125" style="121" customWidth="1"/>
    <col min="4102" max="4102" width="12" style="121" customWidth="1"/>
    <col min="4103" max="4103" width="12.33203125" style="121" customWidth="1"/>
    <col min="4104" max="4104" width="13.5" style="121" customWidth="1"/>
    <col min="4105" max="4105" width="0" style="121" hidden="1" customWidth="1"/>
    <col min="4106" max="4108" width="13" style="121" customWidth="1"/>
    <col min="4109" max="4109" width="14.83203125" style="121" customWidth="1"/>
    <col min="4110" max="4110" width="13.33203125" style="121" customWidth="1"/>
    <col min="4111" max="4111" width="13.5" style="121" customWidth="1"/>
    <col min="4112" max="4112" width="2.1640625" style="121" customWidth="1"/>
    <col min="4113" max="4113" width="13.83203125" style="121" customWidth="1"/>
    <col min="4114" max="4114" width="10.6640625" style="121" customWidth="1"/>
    <col min="4115" max="4115" width="12" style="121" customWidth="1"/>
    <col min="4116" max="4116" width="11.5" style="121" customWidth="1"/>
    <col min="4117" max="4117" width="16" style="121" customWidth="1"/>
    <col min="4118" max="4119" width="10.6640625" style="121" customWidth="1"/>
    <col min="4120" max="4120" width="15.5" style="121" customWidth="1"/>
    <col min="4121" max="4121" width="11.5" style="121" customWidth="1"/>
    <col min="4122" max="4122" width="12" style="121" customWidth="1"/>
    <col min="4123" max="4123" width="11.5" style="121" customWidth="1"/>
    <col min="4124" max="4124" width="12" style="121" customWidth="1"/>
    <col min="4125" max="4125" width="11.5" style="121" customWidth="1"/>
    <col min="4126" max="4126" width="12.83203125" style="121" customWidth="1"/>
    <col min="4127" max="4127" width="10.6640625" style="121" customWidth="1"/>
    <col min="4128" max="4128" width="19" style="121" customWidth="1"/>
    <col min="4129" max="4129" width="13.33203125" style="121" customWidth="1"/>
    <col min="4130" max="4130" width="18" style="121" customWidth="1"/>
    <col min="4131" max="4131" width="42.5" style="121" customWidth="1"/>
    <col min="4132" max="4132" width="31" style="121" customWidth="1"/>
    <col min="4133" max="4133" width="35" style="121" customWidth="1"/>
    <col min="4134" max="4134" width="31" style="121" customWidth="1"/>
    <col min="4135" max="4135" width="35" style="121" customWidth="1"/>
    <col min="4136" max="4136" width="31" style="121" customWidth="1"/>
    <col min="4137" max="4137" width="37.83203125" style="121" customWidth="1"/>
    <col min="4138" max="4138" width="11.5" style="121" customWidth="1"/>
    <col min="4139" max="4139" width="54" style="121" customWidth="1"/>
    <col min="4140" max="4140" width="43.5" style="121" customWidth="1"/>
    <col min="4141" max="4141" width="44.6640625" style="121" customWidth="1"/>
    <col min="4142" max="4351" width="6.33203125" style="121"/>
    <col min="4352" max="4353" width="2.1640625" style="121" customWidth="1"/>
    <col min="4354" max="4354" width="0" style="121" hidden="1" customWidth="1"/>
    <col min="4355" max="4357" width="12.83203125" style="121" customWidth="1"/>
    <col min="4358" max="4358" width="12" style="121" customWidth="1"/>
    <col min="4359" max="4359" width="12.33203125" style="121" customWidth="1"/>
    <col min="4360" max="4360" width="13.5" style="121" customWidth="1"/>
    <col min="4361" max="4361" width="0" style="121" hidden="1" customWidth="1"/>
    <col min="4362" max="4364" width="13" style="121" customWidth="1"/>
    <col min="4365" max="4365" width="14.83203125" style="121" customWidth="1"/>
    <col min="4366" max="4366" width="13.33203125" style="121" customWidth="1"/>
    <col min="4367" max="4367" width="13.5" style="121" customWidth="1"/>
    <col min="4368" max="4368" width="2.1640625" style="121" customWidth="1"/>
    <col min="4369" max="4369" width="13.83203125" style="121" customWidth="1"/>
    <col min="4370" max="4370" width="10.6640625" style="121" customWidth="1"/>
    <col min="4371" max="4371" width="12" style="121" customWidth="1"/>
    <col min="4372" max="4372" width="11.5" style="121" customWidth="1"/>
    <col min="4373" max="4373" width="16" style="121" customWidth="1"/>
    <col min="4374" max="4375" width="10.6640625" style="121" customWidth="1"/>
    <col min="4376" max="4376" width="15.5" style="121" customWidth="1"/>
    <col min="4377" max="4377" width="11.5" style="121" customWidth="1"/>
    <col min="4378" max="4378" width="12" style="121" customWidth="1"/>
    <col min="4379" max="4379" width="11.5" style="121" customWidth="1"/>
    <col min="4380" max="4380" width="12" style="121" customWidth="1"/>
    <col min="4381" max="4381" width="11.5" style="121" customWidth="1"/>
    <col min="4382" max="4382" width="12.83203125" style="121" customWidth="1"/>
    <col min="4383" max="4383" width="10.6640625" style="121" customWidth="1"/>
    <col min="4384" max="4384" width="19" style="121" customWidth="1"/>
    <col min="4385" max="4385" width="13.33203125" style="121" customWidth="1"/>
    <col min="4386" max="4386" width="18" style="121" customWidth="1"/>
    <col min="4387" max="4387" width="42.5" style="121" customWidth="1"/>
    <col min="4388" max="4388" width="31" style="121" customWidth="1"/>
    <col min="4389" max="4389" width="35" style="121" customWidth="1"/>
    <col min="4390" max="4390" width="31" style="121" customWidth="1"/>
    <col min="4391" max="4391" width="35" style="121" customWidth="1"/>
    <col min="4392" max="4392" width="31" style="121" customWidth="1"/>
    <col min="4393" max="4393" width="37.83203125" style="121" customWidth="1"/>
    <col min="4394" max="4394" width="11.5" style="121" customWidth="1"/>
    <col min="4395" max="4395" width="54" style="121" customWidth="1"/>
    <col min="4396" max="4396" width="43.5" style="121" customWidth="1"/>
    <col min="4397" max="4397" width="44.6640625" style="121" customWidth="1"/>
    <col min="4398" max="4607" width="6.33203125" style="121"/>
    <col min="4608" max="4609" width="2.1640625" style="121" customWidth="1"/>
    <col min="4610" max="4610" width="0" style="121" hidden="1" customWidth="1"/>
    <col min="4611" max="4613" width="12.83203125" style="121" customWidth="1"/>
    <col min="4614" max="4614" width="12" style="121" customWidth="1"/>
    <col min="4615" max="4615" width="12.33203125" style="121" customWidth="1"/>
    <col min="4616" max="4616" width="13.5" style="121" customWidth="1"/>
    <col min="4617" max="4617" width="0" style="121" hidden="1" customWidth="1"/>
    <col min="4618" max="4620" width="13" style="121" customWidth="1"/>
    <col min="4621" max="4621" width="14.83203125" style="121" customWidth="1"/>
    <col min="4622" max="4622" width="13.33203125" style="121" customWidth="1"/>
    <col min="4623" max="4623" width="13.5" style="121" customWidth="1"/>
    <col min="4624" max="4624" width="2.1640625" style="121" customWidth="1"/>
    <col min="4625" max="4625" width="13.83203125" style="121" customWidth="1"/>
    <col min="4626" max="4626" width="10.6640625" style="121" customWidth="1"/>
    <col min="4627" max="4627" width="12" style="121" customWidth="1"/>
    <col min="4628" max="4628" width="11.5" style="121" customWidth="1"/>
    <col min="4629" max="4629" width="16" style="121" customWidth="1"/>
    <col min="4630" max="4631" width="10.6640625" style="121" customWidth="1"/>
    <col min="4632" max="4632" width="15.5" style="121" customWidth="1"/>
    <col min="4633" max="4633" width="11.5" style="121" customWidth="1"/>
    <col min="4634" max="4634" width="12" style="121" customWidth="1"/>
    <col min="4635" max="4635" width="11.5" style="121" customWidth="1"/>
    <col min="4636" max="4636" width="12" style="121" customWidth="1"/>
    <col min="4637" max="4637" width="11.5" style="121" customWidth="1"/>
    <col min="4638" max="4638" width="12.83203125" style="121" customWidth="1"/>
    <col min="4639" max="4639" width="10.6640625" style="121" customWidth="1"/>
    <col min="4640" max="4640" width="19" style="121" customWidth="1"/>
    <col min="4641" max="4641" width="13.33203125" style="121" customWidth="1"/>
    <col min="4642" max="4642" width="18" style="121" customWidth="1"/>
    <col min="4643" max="4643" width="42.5" style="121" customWidth="1"/>
    <col min="4644" max="4644" width="31" style="121" customWidth="1"/>
    <col min="4645" max="4645" width="35" style="121" customWidth="1"/>
    <col min="4646" max="4646" width="31" style="121" customWidth="1"/>
    <col min="4647" max="4647" width="35" style="121" customWidth="1"/>
    <col min="4648" max="4648" width="31" style="121" customWidth="1"/>
    <col min="4649" max="4649" width="37.83203125" style="121" customWidth="1"/>
    <col min="4650" max="4650" width="11.5" style="121" customWidth="1"/>
    <col min="4651" max="4651" width="54" style="121" customWidth="1"/>
    <col min="4652" max="4652" width="43.5" style="121" customWidth="1"/>
    <col min="4653" max="4653" width="44.6640625" style="121" customWidth="1"/>
    <col min="4654" max="4863" width="6.33203125" style="121"/>
    <col min="4864" max="4865" width="2.1640625" style="121" customWidth="1"/>
    <col min="4866" max="4866" width="0" style="121" hidden="1" customWidth="1"/>
    <col min="4867" max="4869" width="12.83203125" style="121" customWidth="1"/>
    <col min="4870" max="4870" width="12" style="121" customWidth="1"/>
    <col min="4871" max="4871" width="12.33203125" style="121" customWidth="1"/>
    <col min="4872" max="4872" width="13.5" style="121" customWidth="1"/>
    <col min="4873" max="4873" width="0" style="121" hidden="1" customWidth="1"/>
    <col min="4874" max="4876" width="13" style="121" customWidth="1"/>
    <col min="4877" max="4877" width="14.83203125" style="121" customWidth="1"/>
    <col min="4878" max="4878" width="13.33203125" style="121" customWidth="1"/>
    <col min="4879" max="4879" width="13.5" style="121" customWidth="1"/>
    <col min="4880" max="4880" width="2.1640625" style="121" customWidth="1"/>
    <col min="4881" max="4881" width="13.83203125" style="121" customWidth="1"/>
    <col min="4882" max="4882" width="10.6640625" style="121" customWidth="1"/>
    <col min="4883" max="4883" width="12" style="121" customWidth="1"/>
    <col min="4884" max="4884" width="11.5" style="121" customWidth="1"/>
    <col min="4885" max="4885" width="16" style="121" customWidth="1"/>
    <col min="4886" max="4887" width="10.6640625" style="121" customWidth="1"/>
    <col min="4888" max="4888" width="15.5" style="121" customWidth="1"/>
    <col min="4889" max="4889" width="11.5" style="121" customWidth="1"/>
    <col min="4890" max="4890" width="12" style="121" customWidth="1"/>
    <col min="4891" max="4891" width="11.5" style="121" customWidth="1"/>
    <col min="4892" max="4892" width="12" style="121" customWidth="1"/>
    <col min="4893" max="4893" width="11.5" style="121" customWidth="1"/>
    <col min="4894" max="4894" width="12.83203125" style="121" customWidth="1"/>
    <col min="4895" max="4895" width="10.6640625" style="121" customWidth="1"/>
    <col min="4896" max="4896" width="19" style="121" customWidth="1"/>
    <col min="4897" max="4897" width="13.33203125" style="121" customWidth="1"/>
    <col min="4898" max="4898" width="18" style="121" customWidth="1"/>
    <col min="4899" max="4899" width="42.5" style="121" customWidth="1"/>
    <col min="4900" max="4900" width="31" style="121" customWidth="1"/>
    <col min="4901" max="4901" width="35" style="121" customWidth="1"/>
    <col min="4902" max="4902" width="31" style="121" customWidth="1"/>
    <col min="4903" max="4903" width="35" style="121" customWidth="1"/>
    <col min="4904" max="4904" width="31" style="121" customWidth="1"/>
    <col min="4905" max="4905" width="37.83203125" style="121" customWidth="1"/>
    <col min="4906" max="4906" width="11.5" style="121" customWidth="1"/>
    <col min="4907" max="4907" width="54" style="121" customWidth="1"/>
    <col min="4908" max="4908" width="43.5" style="121" customWidth="1"/>
    <col min="4909" max="4909" width="44.6640625" style="121" customWidth="1"/>
    <col min="4910" max="5119" width="6.33203125" style="121"/>
    <col min="5120" max="5121" width="2.1640625" style="121" customWidth="1"/>
    <col min="5122" max="5122" width="0" style="121" hidden="1" customWidth="1"/>
    <col min="5123" max="5125" width="12.83203125" style="121" customWidth="1"/>
    <col min="5126" max="5126" width="12" style="121" customWidth="1"/>
    <col min="5127" max="5127" width="12.33203125" style="121" customWidth="1"/>
    <col min="5128" max="5128" width="13.5" style="121" customWidth="1"/>
    <col min="5129" max="5129" width="0" style="121" hidden="1" customWidth="1"/>
    <col min="5130" max="5132" width="13" style="121" customWidth="1"/>
    <col min="5133" max="5133" width="14.83203125" style="121" customWidth="1"/>
    <col min="5134" max="5134" width="13.33203125" style="121" customWidth="1"/>
    <col min="5135" max="5135" width="13.5" style="121" customWidth="1"/>
    <col min="5136" max="5136" width="2.1640625" style="121" customWidth="1"/>
    <col min="5137" max="5137" width="13.83203125" style="121" customWidth="1"/>
    <col min="5138" max="5138" width="10.6640625" style="121" customWidth="1"/>
    <col min="5139" max="5139" width="12" style="121" customWidth="1"/>
    <col min="5140" max="5140" width="11.5" style="121" customWidth="1"/>
    <col min="5141" max="5141" width="16" style="121" customWidth="1"/>
    <col min="5142" max="5143" width="10.6640625" style="121" customWidth="1"/>
    <col min="5144" max="5144" width="15.5" style="121" customWidth="1"/>
    <col min="5145" max="5145" width="11.5" style="121" customWidth="1"/>
    <col min="5146" max="5146" width="12" style="121" customWidth="1"/>
    <col min="5147" max="5147" width="11.5" style="121" customWidth="1"/>
    <col min="5148" max="5148" width="12" style="121" customWidth="1"/>
    <col min="5149" max="5149" width="11.5" style="121" customWidth="1"/>
    <col min="5150" max="5150" width="12.83203125" style="121" customWidth="1"/>
    <col min="5151" max="5151" width="10.6640625" style="121" customWidth="1"/>
    <col min="5152" max="5152" width="19" style="121" customWidth="1"/>
    <col min="5153" max="5153" width="13.33203125" style="121" customWidth="1"/>
    <col min="5154" max="5154" width="18" style="121" customWidth="1"/>
    <col min="5155" max="5155" width="42.5" style="121" customWidth="1"/>
    <col min="5156" max="5156" width="31" style="121" customWidth="1"/>
    <col min="5157" max="5157" width="35" style="121" customWidth="1"/>
    <col min="5158" max="5158" width="31" style="121" customWidth="1"/>
    <col min="5159" max="5159" width="35" style="121" customWidth="1"/>
    <col min="5160" max="5160" width="31" style="121" customWidth="1"/>
    <col min="5161" max="5161" width="37.83203125" style="121" customWidth="1"/>
    <col min="5162" max="5162" width="11.5" style="121" customWidth="1"/>
    <col min="5163" max="5163" width="54" style="121" customWidth="1"/>
    <col min="5164" max="5164" width="43.5" style="121" customWidth="1"/>
    <col min="5165" max="5165" width="44.6640625" style="121" customWidth="1"/>
    <col min="5166" max="5375" width="6.33203125" style="121"/>
    <col min="5376" max="5377" width="2.1640625" style="121" customWidth="1"/>
    <col min="5378" max="5378" width="0" style="121" hidden="1" customWidth="1"/>
    <col min="5379" max="5381" width="12.83203125" style="121" customWidth="1"/>
    <col min="5382" max="5382" width="12" style="121" customWidth="1"/>
    <col min="5383" max="5383" width="12.33203125" style="121" customWidth="1"/>
    <col min="5384" max="5384" width="13.5" style="121" customWidth="1"/>
    <col min="5385" max="5385" width="0" style="121" hidden="1" customWidth="1"/>
    <col min="5386" max="5388" width="13" style="121" customWidth="1"/>
    <col min="5389" max="5389" width="14.83203125" style="121" customWidth="1"/>
    <col min="5390" max="5390" width="13.33203125" style="121" customWidth="1"/>
    <col min="5391" max="5391" width="13.5" style="121" customWidth="1"/>
    <col min="5392" max="5392" width="2.1640625" style="121" customWidth="1"/>
    <col min="5393" max="5393" width="13.83203125" style="121" customWidth="1"/>
    <col min="5394" max="5394" width="10.6640625" style="121" customWidth="1"/>
    <col min="5395" max="5395" width="12" style="121" customWidth="1"/>
    <col min="5396" max="5396" width="11.5" style="121" customWidth="1"/>
    <col min="5397" max="5397" width="16" style="121" customWidth="1"/>
    <col min="5398" max="5399" width="10.6640625" style="121" customWidth="1"/>
    <col min="5400" max="5400" width="15.5" style="121" customWidth="1"/>
    <col min="5401" max="5401" width="11.5" style="121" customWidth="1"/>
    <col min="5402" max="5402" width="12" style="121" customWidth="1"/>
    <col min="5403" max="5403" width="11.5" style="121" customWidth="1"/>
    <col min="5404" max="5404" width="12" style="121" customWidth="1"/>
    <col min="5405" max="5405" width="11.5" style="121" customWidth="1"/>
    <col min="5406" max="5406" width="12.83203125" style="121" customWidth="1"/>
    <col min="5407" max="5407" width="10.6640625" style="121" customWidth="1"/>
    <col min="5408" max="5408" width="19" style="121" customWidth="1"/>
    <col min="5409" max="5409" width="13.33203125" style="121" customWidth="1"/>
    <col min="5410" max="5410" width="18" style="121" customWidth="1"/>
    <col min="5411" max="5411" width="42.5" style="121" customWidth="1"/>
    <col min="5412" max="5412" width="31" style="121" customWidth="1"/>
    <col min="5413" max="5413" width="35" style="121" customWidth="1"/>
    <col min="5414" max="5414" width="31" style="121" customWidth="1"/>
    <col min="5415" max="5415" width="35" style="121" customWidth="1"/>
    <col min="5416" max="5416" width="31" style="121" customWidth="1"/>
    <col min="5417" max="5417" width="37.83203125" style="121" customWidth="1"/>
    <col min="5418" max="5418" width="11.5" style="121" customWidth="1"/>
    <col min="5419" max="5419" width="54" style="121" customWidth="1"/>
    <col min="5420" max="5420" width="43.5" style="121" customWidth="1"/>
    <col min="5421" max="5421" width="44.6640625" style="121" customWidth="1"/>
    <col min="5422" max="5631" width="6.33203125" style="121"/>
    <col min="5632" max="5633" width="2.1640625" style="121" customWidth="1"/>
    <col min="5634" max="5634" width="0" style="121" hidden="1" customWidth="1"/>
    <col min="5635" max="5637" width="12.83203125" style="121" customWidth="1"/>
    <col min="5638" max="5638" width="12" style="121" customWidth="1"/>
    <col min="5639" max="5639" width="12.33203125" style="121" customWidth="1"/>
    <col min="5640" max="5640" width="13.5" style="121" customWidth="1"/>
    <col min="5641" max="5641" width="0" style="121" hidden="1" customWidth="1"/>
    <col min="5642" max="5644" width="13" style="121" customWidth="1"/>
    <col min="5645" max="5645" width="14.83203125" style="121" customWidth="1"/>
    <col min="5646" max="5646" width="13.33203125" style="121" customWidth="1"/>
    <col min="5647" max="5647" width="13.5" style="121" customWidth="1"/>
    <col min="5648" max="5648" width="2.1640625" style="121" customWidth="1"/>
    <col min="5649" max="5649" width="13.83203125" style="121" customWidth="1"/>
    <col min="5650" max="5650" width="10.6640625" style="121" customWidth="1"/>
    <col min="5651" max="5651" width="12" style="121" customWidth="1"/>
    <col min="5652" max="5652" width="11.5" style="121" customWidth="1"/>
    <col min="5653" max="5653" width="16" style="121" customWidth="1"/>
    <col min="5654" max="5655" width="10.6640625" style="121" customWidth="1"/>
    <col min="5656" max="5656" width="15.5" style="121" customWidth="1"/>
    <col min="5657" max="5657" width="11.5" style="121" customWidth="1"/>
    <col min="5658" max="5658" width="12" style="121" customWidth="1"/>
    <col min="5659" max="5659" width="11.5" style="121" customWidth="1"/>
    <col min="5660" max="5660" width="12" style="121" customWidth="1"/>
    <col min="5661" max="5661" width="11.5" style="121" customWidth="1"/>
    <col min="5662" max="5662" width="12.83203125" style="121" customWidth="1"/>
    <col min="5663" max="5663" width="10.6640625" style="121" customWidth="1"/>
    <col min="5664" max="5664" width="19" style="121" customWidth="1"/>
    <col min="5665" max="5665" width="13.33203125" style="121" customWidth="1"/>
    <col min="5666" max="5666" width="18" style="121" customWidth="1"/>
    <col min="5667" max="5667" width="42.5" style="121" customWidth="1"/>
    <col min="5668" max="5668" width="31" style="121" customWidth="1"/>
    <col min="5669" max="5669" width="35" style="121" customWidth="1"/>
    <col min="5670" max="5670" width="31" style="121" customWidth="1"/>
    <col min="5671" max="5671" width="35" style="121" customWidth="1"/>
    <col min="5672" max="5672" width="31" style="121" customWidth="1"/>
    <col min="5673" max="5673" width="37.83203125" style="121" customWidth="1"/>
    <col min="5674" max="5674" width="11.5" style="121" customWidth="1"/>
    <col min="5675" max="5675" width="54" style="121" customWidth="1"/>
    <col min="5676" max="5676" width="43.5" style="121" customWidth="1"/>
    <col min="5677" max="5677" width="44.6640625" style="121" customWidth="1"/>
    <col min="5678" max="5887" width="6.33203125" style="121"/>
    <col min="5888" max="5889" width="2.1640625" style="121" customWidth="1"/>
    <col min="5890" max="5890" width="0" style="121" hidden="1" customWidth="1"/>
    <col min="5891" max="5893" width="12.83203125" style="121" customWidth="1"/>
    <col min="5894" max="5894" width="12" style="121" customWidth="1"/>
    <col min="5895" max="5895" width="12.33203125" style="121" customWidth="1"/>
    <col min="5896" max="5896" width="13.5" style="121" customWidth="1"/>
    <col min="5897" max="5897" width="0" style="121" hidden="1" customWidth="1"/>
    <col min="5898" max="5900" width="13" style="121" customWidth="1"/>
    <col min="5901" max="5901" width="14.83203125" style="121" customWidth="1"/>
    <col min="5902" max="5902" width="13.33203125" style="121" customWidth="1"/>
    <col min="5903" max="5903" width="13.5" style="121" customWidth="1"/>
    <col min="5904" max="5904" width="2.1640625" style="121" customWidth="1"/>
    <col min="5905" max="5905" width="13.83203125" style="121" customWidth="1"/>
    <col min="5906" max="5906" width="10.6640625" style="121" customWidth="1"/>
    <col min="5907" max="5907" width="12" style="121" customWidth="1"/>
    <col min="5908" max="5908" width="11.5" style="121" customWidth="1"/>
    <col min="5909" max="5909" width="16" style="121" customWidth="1"/>
    <col min="5910" max="5911" width="10.6640625" style="121" customWidth="1"/>
    <col min="5912" max="5912" width="15.5" style="121" customWidth="1"/>
    <col min="5913" max="5913" width="11.5" style="121" customWidth="1"/>
    <col min="5914" max="5914" width="12" style="121" customWidth="1"/>
    <col min="5915" max="5915" width="11.5" style="121" customWidth="1"/>
    <col min="5916" max="5916" width="12" style="121" customWidth="1"/>
    <col min="5917" max="5917" width="11.5" style="121" customWidth="1"/>
    <col min="5918" max="5918" width="12.83203125" style="121" customWidth="1"/>
    <col min="5919" max="5919" width="10.6640625" style="121" customWidth="1"/>
    <col min="5920" max="5920" width="19" style="121" customWidth="1"/>
    <col min="5921" max="5921" width="13.33203125" style="121" customWidth="1"/>
    <col min="5922" max="5922" width="18" style="121" customWidth="1"/>
    <col min="5923" max="5923" width="42.5" style="121" customWidth="1"/>
    <col min="5924" max="5924" width="31" style="121" customWidth="1"/>
    <col min="5925" max="5925" width="35" style="121" customWidth="1"/>
    <col min="5926" max="5926" width="31" style="121" customWidth="1"/>
    <col min="5927" max="5927" width="35" style="121" customWidth="1"/>
    <col min="5928" max="5928" width="31" style="121" customWidth="1"/>
    <col min="5929" max="5929" width="37.83203125" style="121" customWidth="1"/>
    <col min="5930" max="5930" width="11.5" style="121" customWidth="1"/>
    <col min="5931" max="5931" width="54" style="121" customWidth="1"/>
    <col min="5932" max="5932" width="43.5" style="121" customWidth="1"/>
    <col min="5933" max="5933" width="44.6640625" style="121" customWidth="1"/>
    <col min="5934" max="6143" width="6.33203125" style="121"/>
    <col min="6144" max="6145" width="2.1640625" style="121" customWidth="1"/>
    <col min="6146" max="6146" width="0" style="121" hidden="1" customWidth="1"/>
    <col min="6147" max="6149" width="12.83203125" style="121" customWidth="1"/>
    <col min="6150" max="6150" width="12" style="121" customWidth="1"/>
    <col min="6151" max="6151" width="12.33203125" style="121" customWidth="1"/>
    <col min="6152" max="6152" width="13.5" style="121" customWidth="1"/>
    <col min="6153" max="6153" width="0" style="121" hidden="1" customWidth="1"/>
    <col min="6154" max="6156" width="13" style="121" customWidth="1"/>
    <col min="6157" max="6157" width="14.83203125" style="121" customWidth="1"/>
    <col min="6158" max="6158" width="13.33203125" style="121" customWidth="1"/>
    <col min="6159" max="6159" width="13.5" style="121" customWidth="1"/>
    <col min="6160" max="6160" width="2.1640625" style="121" customWidth="1"/>
    <col min="6161" max="6161" width="13.83203125" style="121" customWidth="1"/>
    <col min="6162" max="6162" width="10.6640625" style="121" customWidth="1"/>
    <col min="6163" max="6163" width="12" style="121" customWidth="1"/>
    <col min="6164" max="6164" width="11.5" style="121" customWidth="1"/>
    <col min="6165" max="6165" width="16" style="121" customWidth="1"/>
    <col min="6166" max="6167" width="10.6640625" style="121" customWidth="1"/>
    <col min="6168" max="6168" width="15.5" style="121" customWidth="1"/>
    <col min="6169" max="6169" width="11.5" style="121" customWidth="1"/>
    <col min="6170" max="6170" width="12" style="121" customWidth="1"/>
    <col min="6171" max="6171" width="11.5" style="121" customWidth="1"/>
    <col min="6172" max="6172" width="12" style="121" customWidth="1"/>
    <col min="6173" max="6173" width="11.5" style="121" customWidth="1"/>
    <col min="6174" max="6174" width="12.83203125" style="121" customWidth="1"/>
    <col min="6175" max="6175" width="10.6640625" style="121" customWidth="1"/>
    <col min="6176" max="6176" width="19" style="121" customWidth="1"/>
    <col min="6177" max="6177" width="13.33203125" style="121" customWidth="1"/>
    <col min="6178" max="6178" width="18" style="121" customWidth="1"/>
    <col min="6179" max="6179" width="42.5" style="121" customWidth="1"/>
    <col min="6180" max="6180" width="31" style="121" customWidth="1"/>
    <col min="6181" max="6181" width="35" style="121" customWidth="1"/>
    <col min="6182" max="6182" width="31" style="121" customWidth="1"/>
    <col min="6183" max="6183" width="35" style="121" customWidth="1"/>
    <col min="6184" max="6184" width="31" style="121" customWidth="1"/>
    <col min="6185" max="6185" width="37.83203125" style="121" customWidth="1"/>
    <col min="6186" max="6186" width="11.5" style="121" customWidth="1"/>
    <col min="6187" max="6187" width="54" style="121" customWidth="1"/>
    <col min="6188" max="6188" width="43.5" style="121" customWidth="1"/>
    <col min="6189" max="6189" width="44.6640625" style="121" customWidth="1"/>
    <col min="6190" max="6399" width="6.33203125" style="121"/>
    <col min="6400" max="6401" width="2.1640625" style="121" customWidth="1"/>
    <col min="6402" max="6402" width="0" style="121" hidden="1" customWidth="1"/>
    <col min="6403" max="6405" width="12.83203125" style="121" customWidth="1"/>
    <col min="6406" max="6406" width="12" style="121" customWidth="1"/>
    <col min="6407" max="6407" width="12.33203125" style="121" customWidth="1"/>
    <col min="6408" max="6408" width="13.5" style="121" customWidth="1"/>
    <col min="6409" max="6409" width="0" style="121" hidden="1" customWidth="1"/>
    <col min="6410" max="6412" width="13" style="121" customWidth="1"/>
    <col min="6413" max="6413" width="14.83203125" style="121" customWidth="1"/>
    <col min="6414" max="6414" width="13.33203125" style="121" customWidth="1"/>
    <col min="6415" max="6415" width="13.5" style="121" customWidth="1"/>
    <col min="6416" max="6416" width="2.1640625" style="121" customWidth="1"/>
    <col min="6417" max="6417" width="13.83203125" style="121" customWidth="1"/>
    <col min="6418" max="6418" width="10.6640625" style="121" customWidth="1"/>
    <col min="6419" max="6419" width="12" style="121" customWidth="1"/>
    <col min="6420" max="6420" width="11.5" style="121" customWidth="1"/>
    <col min="6421" max="6421" width="16" style="121" customWidth="1"/>
    <col min="6422" max="6423" width="10.6640625" style="121" customWidth="1"/>
    <col min="6424" max="6424" width="15.5" style="121" customWidth="1"/>
    <col min="6425" max="6425" width="11.5" style="121" customWidth="1"/>
    <col min="6426" max="6426" width="12" style="121" customWidth="1"/>
    <col min="6427" max="6427" width="11.5" style="121" customWidth="1"/>
    <col min="6428" max="6428" width="12" style="121" customWidth="1"/>
    <col min="6429" max="6429" width="11.5" style="121" customWidth="1"/>
    <col min="6430" max="6430" width="12.83203125" style="121" customWidth="1"/>
    <col min="6431" max="6431" width="10.6640625" style="121" customWidth="1"/>
    <col min="6432" max="6432" width="19" style="121" customWidth="1"/>
    <col min="6433" max="6433" width="13.33203125" style="121" customWidth="1"/>
    <col min="6434" max="6434" width="18" style="121" customWidth="1"/>
    <col min="6435" max="6435" width="42.5" style="121" customWidth="1"/>
    <col min="6436" max="6436" width="31" style="121" customWidth="1"/>
    <col min="6437" max="6437" width="35" style="121" customWidth="1"/>
    <col min="6438" max="6438" width="31" style="121" customWidth="1"/>
    <col min="6439" max="6439" width="35" style="121" customWidth="1"/>
    <col min="6440" max="6440" width="31" style="121" customWidth="1"/>
    <col min="6441" max="6441" width="37.83203125" style="121" customWidth="1"/>
    <col min="6442" max="6442" width="11.5" style="121" customWidth="1"/>
    <col min="6443" max="6443" width="54" style="121" customWidth="1"/>
    <col min="6444" max="6444" width="43.5" style="121" customWidth="1"/>
    <col min="6445" max="6445" width="44.6640625" style="121" customWidth="1"/>
    <col min="6446" max="6655" width="6.33203125" style="121"/>
    <col min="6656" max="6657" width="2.1640625" style="121" customWidth="1"/>
    <col min="6658" max="6658" width="0" style="121" hidden="1" customWidth="1"/>
    <col min="6659" max="6661" width="12.83203125" style="121" customWidth="1"/>
    <col min="6662" max="6662" width="12" style="121" customWidth="1"/>
    <col min="6663" max="6663" width="12.33203125" style="121" customWidth="1"/>
    <col min="6664" max="6664" width="13.5" style="121" customWidth="1"/>
    <col min="6665" max="6665" width="0" style="121" hidden="1" customWidth="1"/>
    <col min="6666" max="6668" width="13" style="121" customWidth="1"/>
    <col min="6669" max="6669" width="14.83203125" style="121" customWidth="1"/>
    <col min="6670" max="6670" width="13.33203125" style="121" customWidth="1"/>
    <col min="6671" max="6671" width="13.5" style="121" customWidth="1"/>
    <col min="6672" max="6672" width="2.1640625" style="121" customWidth="1"/>
    <col min="6673" max="6673" width="13.83203125" style="121" customWidth="1"/>
    <col min="6674" max="6674" width="10.6640625" style="121" customWidth="1"/>
    <col min="6675" max="6675" width="12" style="121" customWidth="1"/>
    <col min="6676" max="6676" width="11.5" style="121" customWidth="1"/>
    <col min="6677" max="6677" width="16" style="121" customWidth="1"/>
    <col min="6678" max="6679" width="10.6640625" style="121" customWidth="1"/>
    <col min="6680" max="6680" width="15.5" style="121" customWidth="1"/>
    <col min="6681" max="6681" width="11.5" style="121" customWidth="1"/>
    <col min="6682" max="6682" width="12" style="121" customWidth="1"/>
    <col min="6683" max="6683" width="11.5" style="121" customWidth="1"/>
    <col min="6684" max="6684" width="12" style="121" customWidth="1"/>
    <col min="6685" max="6685" width="11.5" style="121" customWidth="1"/>
    <col min="6686" max="6686" width="12.83203125" style="121" customWidth="1"/>
    <col min="6687" max="6687" width="10.6640625" style="121" customWidth="1"/>
    <col min="6688" max="6688" width="19" style="121" customWidth="1"/>
    <col min="6689" max="6689" width="13.33203125" style="121" customWidth="1"/>
    <col min="6690" max="6690" width="18" style="121" customWidth="1"/>
    <col min="6691" max="6691" width="42.5" style="121" customWidth="1"/>
    <col min="6692" max="6692" width="31" style="121" customWidth="1"/>
    <col min="6693" max="6693" width="35" style="121" customWidth="1"/>
    <col min="6694" max="6694" width="31" style="121" customWidth="1"/>
    <col min="6695" max="6695" width="35" style="121" customWidth="1"/>
    <col min="6696" max="6696" width="31" style="121" customWidth="1"/>
    <col min="6697" max="6697" width="37.83203125" style="121" customWidth="1"/>
    <col min="6698" max="6698" width="11.5" style="121" customWidth="1"/>
    <col min="6699" max="6699" width="54" style="121" customWidth="1"/>
    <col min="6700" max="6700" width="43.5" style="121" customWidth="1"/>
    <col min="6701" max="6701" width="44.6640625" style="121" customWidth="1"/>
    <col min="6702" max="6911" width="6.33203125" style="121"/>
    <col min="6912" max="6913" width="2.1640625" style="121" customWidth="1"/>
    <col min="6914" max="6914" width="0" style="121" hidden="1" customWidth="1"/>
    <col min="6915" max="6917" width="12.83203125" style="121" customWidth="1"/>
    <col min="6918" max="6918" width="12" style="121" customWidth="1"/>
    <col min="6919" max="6919" width="12.33203125" style="121" customWidth="1"/>
    <col min="6920" max="6920" width="13.5" style="121" customWidth="1"/>
    <col min="6921" max="6921" width="0" style="121" hidden="1" customWidth="1"/>
    <col min="6922" max="6924" width="13" style="121" customWidth="1"/>
    <col min="6925" max="6925" width="14.83203125" style="121" customWidth="1"/>
    <col min="6926" max="6926" width="13.33203125" style="121" customWidth="1"/>
    <col min="6927" max="6927" width="13.5" style="121" customWidth="1"/>
    <col min="6928" max="6928" width="2.1640625" style="121" customWidth="1"/>
    <col min="6929" max="6929" width="13.83203125" style="121" customWidth="1"/>
    <col min="6930" max="6930" width="10.6640625" style="121" customWidth="1"/>
    <col min="6931" max="6931" width="12" style="121" customWidth="1"/>
    <col min="6932" max="6932" width="11.5" style="121" customWidth="1"/>
    <col min="6933" max="6933" width="16" style="121" customWidth="1"/>
    <col min="6934" max="6935" width="10.6640625" style="121" customWidth="1"/>
    <col min="6936" max="6936" width="15.5" style="121" customWidth="1"/>
    <col min="6937" max="6937" width="11.5" style="121" customWidth="1"/>
    <col min="6938" max="6938" width="12" style="121" customWidth="1"/>
    <col min="6939" max="6939" width="11.5" style="121" customWidth="1"/>
    <col min="6940" max="6940" width="12" style="121" customWidth="1"/>
    <col min="6941" max="6941" width="11.5" style="121" customWidth="1"/>
    <col min="6942" max="6942" width="12.83203125" style="121" customWidth="1"/>
    <col min="6943" max="6943" width="10.6640625" style="121" customWidth="1"/>
    <col min="6944" max="6944" width="19" style="121" customWidth="1"/>
    <col min="6945" max="6945" width="13.33203125" style="121" customWidth="1"/>
    <col min="6946" max="6946" width="18" style="121" customWidth="1"/>
    <col min="6947" max="6947" width="42.5" style="121" customWidth="1"/>
    <col min="6948" max="6948" width="31" style="121" customWidth="1"/>
    <col min="6949" max="6949" width="35" style="121" customWidth="1"/>
    <col min="6950" max="6950" width="31" style="121" customWidth="1"/>
    <col min="6951" max="6951" width="35" style="121" customWidth="1"/>
    <col min="6952" max="6952" width="31" style="121" customWidth="1"/>
    <col min="6953" max="6953" width="37.83203125" style="121" customWidth="1"/>
    <col min="6954" max="6954" width="11.5" style="121" customWidth="1"/>
    <col min="6955" max="6955" width="54" style="121" customWidth="1"/>
    <col min="6956" max="6956" width="43.5" style="121" customWidth="1"/>
    <col min="6957" max="6957" width="44.6640625" style="121" customWidth="1"/>
    <col min="6958" max="7167" width="6.33203125" style="121"/>
    <col min="7168" max="7169" width="2.1640625" style="121" customWidth="1"/>
    <col min="7170" max="7170" width="0" style="121" hidden="1" customWidth="1"/>
    <col min="7171" max="7173" width="12.83203125" style="121" customWidth="1"/>
    <col min="7174" max="7174" width="12" style="121" customWidth="1"/>
    <col min="7175" max="7175" width="12.33203125" style="121" customWidth="1"/>
    <col min="7176" max="7176" width="13.5" style="121" customWidth="1"/>
    <col min="7177" max="7177" width="0" style="121" hidden="1" customWidth="1"/>
    <col min="7178" max="7180" width="13" style="121" customWidth="1"/>
    <col min="7181" max="7181" width="14.83203125" style="121" customWidth="1"/>
    <col min="7182" max="7182" width="13.33203125" style="121" customWidth="1"/>
    <col min="7183" max="7183" width="13.5" style="121" customWidth="1"/>
    <col min="7184" max="7184" width="2.1640625" style="121" customWidth="1"/>
    <col min="7185" max="7185" width="13.83203125" style="121" customWidth="1"/>
    <col min="7186" max="7186" width="10.6640625" style="121" customWidth="1"/>
    <col min="7187" max="7187" width="12" style="121" customWidth="1"/>
    <col min="7188" max="7188" width="11.5" style="121" customWidth="1"/>
    <col min="7189" max="7189" width="16" style="121" customWidth="1"/>
    <col min="7190" max="7191" width="10.6640625" style="121" customWidth="1"/>
    <col min="7192" max="7192" width="15.5" style="121" customWidth="1"/>
    <col min="7193" max="7193" width="11.5" style="121" customWidth="1"/>
    <col min="7194" max="7194" width="12" style="121" customWidth="1"/>
    <col min="7195" max="7195" width="11.5" style="121" customWidth="1"/>
    <col min="7196" max="7196" width="12" style="121" customWidth="1"/>
    <col min="7197" max="7197" width="11.5" style="121" customWidth="1"/>
    <col min="7198" max="7198" width="12.83203125" style="121" customWidth="1"/>
    <col min="7199" max="7199" width="10.6640625" style="121" customWidth="1"/>
    <col min="7200" max="7200" width="19" style="121" customWidth="1"/>
    <col min="7201" max="7201" width="13.33203125" style="121" customWidth="1"/>
    <col min="7202" max="7202" width="18" style="121" customWidth="1"/>
    <col min="7203" max="7203" width="42.5" style="121" customWidth="1"/>
    <col min="7204" max="7204" width="31" style="121" customWidth="1"/>
    <col min="7205" max="7205" width="35" style="121" customWidth="1"/>
    <col min="7206" max="7206" width="31" style="121" customWidth="1"/>
    <col min="7207" max="7207" width="35" style="121" customWidth="1"/>
    <col min="7208" max="7208" width="31" style="121" customWidth="1"/>
    <col min="7209" max="7209" width="37.83203125" style="121" customWidth="1"/>
    <col min="7210" max="7210" width="11.5" style="121" customWidth="1"/>
    <col min="7211" max="7211" width="54" style="121" customWidth="1"/>
    <col min="7212" max="7212" width="43.5" style="121" customWidth="1"/>
    <col min="7213" max="7213" width="44.6640625" style="121" customWidth="1"/>
    <col min="7214" max="7423" width="6.33203125" style="121"/>
    <col min="7424" max="7425" width="2.1640625" style="121" customWidth="1"/>
    <col min="7426" max="7426" width="0" style="121" hidden="1" customWidth="1"/>
    <col min="7427" max="7429" width="12.83203125" style="121" customWidth="1"/>
    <col min="7430" max="7430" width="12" style="121" customWidth="1"/>
    <col min="7431" max="7431" width="12.33203125" style="121" customWidth="1"/>
    <col min="7432" max="7432" width="13.5" style="121" customWidth="1"/>
    <col min="7433" max="7433" width="0" style="121" hidden="1" customWidth="1"/>
    <col min="7434" max="7436" width="13" style="121" customWidth="1"/>
    <col min="7437" max="7437" width="14.83203125" style="121" customWidth="1"/>
    <col min="7438" max="7438" width="13.33203125" style="121" customWidth="1"/>
    <col min="7439" max="7439" width="13.5" style="121" customWidth="1"/>
    <col min="7440" max="7440" width="2.1640625" style="121" customWidth="1"/>
    <col min="7441" max="7441" width="13.83203125" style="121" customWidth="1"/>
    <col min="7442" max="7442" width="10.6640625" style="121" customWidth="1"/>
    <col min="7443" max="7443" width="12" style="121" customWidth="1"/>
    <col min="7444" max="7444" width="11.5" style="121" customWidth="1"/>
    <col min="7445" max="7445" width="16" style="121" customWidth="1"/>
    <col min="7446" max="7447" width="10.6640625" style="121" customWidth="1"/>
    <col min="7448" max="7448" width="15.5" style="121" customWidth="1"/>
    <col min="7449" max="7449" width="11.5" style="121" customWidth="1"/>
    <col min="7450" max="7450" width="12" style="121" customWidth="1"/>
    <col min="7451" max="7451" width="11.5" style="121" customWidth="1"/>
    <col min="7452" max="7452" width="12" style="121" customWidth="1"/>
    <col min="7453" max="7453" width="11.5" style="121" customWidth="1"/>
    <col min="7454" max="7454" width="12.83203125" style="121" customWidth="1"/>
    <col min="7455" max="7455" width="10.6640625" style="121" customWidth="1"/>
    <col min="7456" max="7456" width="19" style="121" customWidth="1"/>
    <col min="7457" max="7457" width="13.33203125" style="121" customWidth="1"/>
    <col min="7458" max="7458" width="18" style="121" customWidth="1"/>
    <col min="7459" max="7459" width="42.5" style="121" customWidth="1"/>
    <col min="7460" max="7460" width="31" style="121" customWidth="1"/>
    <col min="7461" max="7461" width="35" style="121" customWidth="1"/>
    <col min="7462" max="7462" width="31" style="121" customWidth="1"/>
    <col min="7463" max="7463" width="35" style="121" customWidth="1"/>
    <col min="7464" max="7464" width="31" style="121" customWidth="1"/>
    <col min="7465" max="7465" width="37.83203125" style="121" customWidth="1"/>
    <col min="7466" max="7466" width="11.5" style="121" customWidth="1"/>
    <col min="7467" max="7467" width="54" style="121" customWidth="1"/>
    <col min="7468" max="7468" width="43.5" style="121" customWidth="1"/>
    <col min="7469" max="7469" width="44.6640625" style="121" customWidth="1"/>
    <col min="7470" max="7679" width="6.33203125" style="121"/>
    <col min="7680" max="7681" width="2.1640625" style="121" customWidth="1"/>
    <col min="7682" max="7682" width="0" style="121" hidden="1" customWidth="1"/>
    <col min="7683" max="7685" width="12.83203125" style="121" customWidth="1"/>
    <col min="7686" max="7686" width="12" style="121" customWidth="1"/>
    <col min="7687" max="7687" width="12.33203125" style="121" customWidth="1"/>
    <col min="7688" max="7688" width="13.5" style="121" customWidth="1"/>
    <col min="7689" max="7689" width="0" style="121" hidden="1" customWidth="1"/>
    <col min="7690" max="7692" width="13" style="121" customWidth="1"/>
    <col min="7693" max="7693" width="14.83203125" style="121" customWidth="1"/>
    <col min="7694" max="7694" width="13.33203125" style="121" customWidth="1"/>
    <col min="7695" max="7695" width="13.5" style="121" customWidth="1"/>
    <col min="7696" max="7696" width="2.1640625" style="121" customWidth="1"/>
    <col min="7697" max="7697" width="13.83203125" style="121" customWidth="1"/>
    <col min="7698" max="7698" width="10.6640625" style="121" customWidth="1"/>
    <col min="7699" max="7699" width="12" style="121" customWidth="1"/>
    <col min="7700" max="7700" width="11.5" style="121" customWidth="1"/>
    <col min="7701" max="7701" width="16" style="121" customWidth="1"/>
    <col min="7702" max="7703" width="10.6640625" style="121" customWidth="1"/>
    <col min="7704" max="7704" width="15.5" style="121" customWidth="1"/>
    <col min="7705" max="7705" width="11.5" style="121" customWidth="1"/>
    <col min="7706" max="7706" width="12" style="121" customWidth="1"/>
    <col min="7707" max="7707" width="11.5" style="121" customWidth="1"/>
    <col min="7708" max="7708" width="12" style="121" customWidth="1"/>
    <col min="7709" max="7709" width="11.5" style="121" customWidth="1"/>
    <col min="7710" max="7710" width="12.83203125" style="121" customWidth="1"/>
    <col min="7711" max="7711" width="10.6640625" style="121" customWidth="1"/>
    <col min="7712" max="7712" width="19" style="121" customWidth="1"/>
    <col min="7713" max="7713" width="13.33203125" style="121" customWidth="1"/>
    <col min="7714" max="7714" width="18" style="121" customWidth="1"/>
    <col min="7715" max="7715" width="42.5" style="121" customWidth="1"/>
    <col min="7716" max="7716" width="31" style="121" customWidth="1"/>
    <col min="7717" max="7717" width="35" style="121" customWidth="1"/>
    <col min="7718" max="7718" width="31" style="121" customWidth="1"/>
    <col min="7719" max="7719" width="35" style="121" customWidth="1"/>
    <col min="7720" max="7720" width="31" style="121" customWidth="1"/>
    <col min="7721" max="7721" width="37.83203125" style="121" customWidth="1"/>
    <col min="7722" max="7722" width="11.5" style="121" customWidth="1"/>
    <col min="7723" max="7723" width="54" style="121" customWidth="1"/>
    <col min="7724" max="7724" width="43.5" style="121" customWidth="1"/>
    <col min="7725" max="7725" width="44.6640625" style="121" customWidth="1"/>
    <col min="7726" max="7935" width="6.33203125" style="121"/>
    <col min="7936" max="7937" width="2.1640625" style="121" customWidth="1"/>
    <col min="7938" max="7938" width="0" style="121" hidden="1" customWidth="1"/>
    <col min="7939" max="7941" width="12.83203125" style="121" customWidth="1"/>
    <col min="7942" max="7942" width="12" style="121" customWidth="1"/>
    <col min="7943" max="7943" width="12.33203125" style="121" customWidth="1"/>
    <col min="7944" max="7944" width="13.5" style="121" customWidth="1"/>
    <col min="7945" max="7945" width="0" style="121" hidden="1" customWidth="1"/>
    <col min="7946" max="7948" width="13" style="121" customWidth="1"/>
    <col min="7949" max="7949" width="14.83203125" style="121" customWidth="1"/>
    <col min="7950" max="7950" width="13.33203125" style="121" customWidth="1"/>
    <col min="7951" max="7951" width="13.5" style="121" customWidth="1"/>
    <col min="7952" max="7952" width="2.1640625" style="121" customWidth="1"/>
    <col min="7953" max="7953" width="13.83203125" style="121" customWidth="1"/>
    <col min="7954" max="7954" width="10.6640625" style="121" customWidth="1"/>
    <col min="7955" max="7955" width="12" style="121" customWidth="1"/>
    <col min="7956" max="7956" width="11.5" style="121" customWidth="1"/>
    <col min="7957" max="7957" width="16" style="121" customWidth="1"/>
    <col min="7958" max="7959" width="10.6640625" style="121" customWidth="1"/>
    <col min="7960" max="7960" width="15.5" style="121" customWidth="1"/>
    <col min="7961" max="7961" width="11.5" style="121" customWidth="1"/>
    <col min="7962" max="7962" width="12" style="121" customWidth="1"/>
    <col min="7963" max="7963" width="11.5" style="121" customWidth="1"/>
    <col min="7964" max="7964" width="12" style="121" customWidth="1"/>
    <col min="7965" max="7965" width="11.5" style="121" customWidth="1"/>
    <col min="7966" max="7966" width="12.83203125" style="121" customWidth="1"/>
    <col min="7967" max="7967" width="10.6640625" style="121" customWidth="1"/>
    <col min="7968" max="7968" width="19" style="121" customWidth="1"/>
    <col min="7969" max="7969" width="13.33203125" style="121" customWidth="1"/>
    <col min="7970" max="7970" width="18" style="121" customWidth="1"/>
    <col min="7971" max="7971" width="42.5" style="121" customWidth="1"/>
    <col min="7972" max="7972" width="31" style="121" customWidth="1"/>
    <col min="7973" max="7973" width="35" style="121" customWidth="1"/>
    <col min="7974" max="7974" width="31" style="121" customWidth="1"/>
    <col min="7975" max="7975" width="35" style="121" customWidth="1"/>
    <col min="7976" max="7976" width="31" style="121" customWidth="1"/>
    <col min="7977" max="7977" width="37.83203125" style="121" customWidth="1"/>
    <col min="7978" max="7978" width="11.5" style="121" customWidth="1"/>
    <col min="7979" max="7979" width="54" style="121" customWidth="1"/>
    <col min="7980" max="7980" width="43.5" style="121" customWidth="1"/>
    <col min="7981" max="7981" width="44.6640625" style="121" customWidth="1"/>
    <col min="7982" max="8191" width="6.33203125" style="121"/>
    <col min="8192" max="8193" width="2.1640625" style="121" customWidth="1"/>
    <col min="8194" max="8194" width="0" style="121" hidden="1" customWidth="1"/>
    <col min="8195" max="8197" width="12.83203125" style="121" customWidth="1"/>
    <col min="8198" max="8198" width="12" style="121" customWidth="1"/>
    <col min="8199" max="8199" width="12.33203125" style="121" customWidth="1"/>
    <col min="8200" max="8200" width="13.5" style="121" customWidth="1"/>
    <col min="8201" max="8201" width="0" style="121" hidden="1" customWidth="1"/>
    <col min="8202" max="8204" width="13" style="121" customWidth="1"/>
    <col min="8205" max="8205" width="14.83203125" style="121" customWidth="1"/>
    <col min="8206" max="8206" width="13.33203125" style="121" customWidth="1"/>
    <col min="8207" max="8207" width="13.5" style="121" customWidth="1"/>
    <col min="8208" max="8208" width="2.1640625" style="121" customWidth="1"/>
    <col min="8209" max="8209" width="13.83203125" style="121" customWidth="1"/>
    <col min="8210" max="8210" width="10.6640625" style="121" customWidth="1"/>
    <col min="8211" max="8211" width="12" style="121" customWidth="1"/>
    <col min="8212" max="8212" width="11.5" style="121" customWidth="1"/>
    <col min="8213" max="8213" width="16" style="121" customWidth="1"/>
    <col min="8214" max="8215" width="10.6640625" style="121" customWidth="1"/>
    <col min="8216" max="8216" width="15.5" style="121" customWidth="1"/>
    <col min="8217" max="8217" width="11.5" style="121" customWidth="1"/>
    <col min="8218" max="8218" width="12" style="121" customWidth="1"/>
    <col min="8219" max="8219" width="11.5" style="121" customWidth="1"/>
    <col min="8220" max="8220" width="12" style="121" customWidth="1"/>
    <col min="8221" max="8221" width="11.5" style="121" customWidth="1"/>
    <col min="8222" max="8222" width="12.83203125" style="121" customWidth="1"/>
    <col min="8223" max="8223" width="10.6640625" style="121" customWidth="1"/>
    <col min="8224" max="8224" width="19" style="121" customWidth="1"/>
    <col min="8225" max="8225" width="13.33203125" style="121" customWidth="1"/>
    <col min="8226" max="8226" width="18" style="121" customWidth="1"/>
    <col min="8227" max="8227" width="42.5" style="121" customWidth="1"/>
    <col min="8228" max="8228" width="31" style="121" customWidth="1"/>
    <col min="8229" max="8229" width="35" style="121" customWidth="1"/>
    <col min="8230" max="8230" width="31" style="121" customWidth="1"/>
    <col min="8231" max="8231" width="35" style="121" customWidth="1"/>
    <col min="8232" max="8232" width="31" style="121" customWidth="1"/>
    <col min="8233" max="8233" width="37.83203125" style="121" customWidth="1"/>
    <col min="8234" max="8234" width="11.5" style="121" customWidth="1"/>
    <col min="8235" max="8235" width="54" style="121" customWidth="1"/>
    <col min="8236" max="8236" width="43.5" style="121" customWidth="1"/>
    <col min="8237" max="8237" width="44.6640625" style="121" customWidth="1"/>
    <col min="8238" max="8447" width="6.33203125" style="121"/>
    <col min="8448" max="8449" width="2.1640625" style="121" customWidth="1"/>
    <col min="8450" max="8450" width="0" style="121" hidden="1" customWidth="1"/>
    <col min="8451" max="8453" width="12.83203125" style="121" customWidth="1"/>
    <col min="8454" max="8454" width="12" style="121" customWidth="1"/>
    <col min="8455" max="8455" width="12.33203125" style="121" customWidth="1"/>
    <col min="8456" max="8456" width="13.5" style="121" customWidth="1"/>
    <col min="8457" max="8457" width="0" style="121" hidden="1" customWidth="1"/>
    <col min="8458" max="8460" width="13" style="121" customWidth="1"/>
    <col min="8461" max="8461" width="14.83203125" style="121" customWidth="1"/>
    <col min="8462" max="8462" width="13.33203125" style="121" customWidth="1"/>
    <col min="8463" max="8463" width="13.5" style="121" customWidth="1"/>
    <col min="8464" max="8464" width="2.1640625" style="121" customWidth="1"/>
    <col min="8465" max="8465" width="13.83203125" style="121" customWidth="1"/>
    <col min="8466" max="8466" width="10.6640625" style="121" customWidth="1"/>
    <col min="8467" max="8467" width="12" style="121" customWidth="1"/>
    <col min="8468" max="8468" width="11.5" style="121" customWidth="1"/>
    <col min="8469" max="8469" width="16" style="121" customWidth="1"/>
    <col min="8470" max="8471" width="10.6640625" style="121" customWidth="1"/>
    <col min="8472" max="8472" width="15.5" style="121" customWidth="1"/>
    <col min="8473" max="8473" width="11.5" style="121" customWidth="1"/>
    <col min="8474" max="8474" width="12" style="121" customWidth="1"/>
    <col min="8475" max="8475" width="11.5" style="121" customWidth="1"/>
    <col min="8476" max="8476" width="12" style="121" customWidth="1"/>
    <col min="8477" max="8477" width="11.5" style="121" customWidth="1"/>
    <col min="8478" max="8478" width="12.83203125" style="121" customWidth="1"/>
    <col min="8479" max="8479" width="10.6640625" style="121" customWidth="1"/>
    <col min="8480" max="8480" width="19" style="121" customWidth="1"/>
    <col min="8481" max="8481" width="13.33203125" style="121" customWidth="1"/>
    <col min="8482" max="8482" width="18" style="121" customWidth="1"/>
    <col min="8483" max="8483" width="42.5" style="121" customWidth="1"/>
    <col min="8484" max="8484" width="31" style="121" customWidth="1"/>
    <col min="8485" max="8485" width="35" style="121" customWidth="1"/>
    <col min="8486" max="8486" width="31" style="121" customWidth="1"/>
    <col min="8487" max="8487" width="35" style="121" customWidth="1"/>
    <col min="8488" max="8488" width="31" style="121" customWidth="1"/>
    <col min="8489" max="8489" width="37.83203125" style="121" customWidth="1"/>
    <col min="8490" max="8490" width="11.5" style="121" customWidth="1"/>
    <col min="8491" max="8491" width="54" style="121" customWidth="1"/>
    <col min="8492" max="8492" width="43.5" style="121" customWidth="1"/>
    <col min="8493" max="8493" width="44.6640625" style="121" customWidth="1"/>
    <col min="8494" max="8703" width="6.33203125" style="121"/>
    <col min="8704" max="8705" width="2.1640625" style="121" customWidth="1"/>
    <col min="8706" max="8706" width="0" style="121" hidden="1" customWidth="1"/>
    <col min="8707" max="8709" width="12.83203125" style="121" customWidth="1"/>
    <col min="8710" max="8710" width="12" style="121" customWidth="1"/>
    <col min="8711" max="8711" width="12.33203125" style="121" customWidth="1"/>
    <col min="8712" max="8712" width="13.5" style="121" customWidth="1"/>
    <col min="8713" max="8713" width="0" style="121" hidden="1" customWidth="1"/>
    <col min="8714" max="8716" width="13" style="121" customWidth="1"/>
    <col min="8717" max="8717" width="14.83203125" style="121" customWidth="1"/>
    <col min="8718" max="8718" width="13.33203125" style="121" customWidth="1"/>
    <col min="8719" max="8719" width="13.5" style="121" customWidth="1"/>
    <col min="8720" max="8720" width="2.1640625" style="121" customWidth="1"/>
    <col min="8721" max="8721" width="13.83203125" style="121" customWidth="1"/>
    <col min="8722" max="8722" width="10.6640625" style="121" customWidth="1"/>
    <col min="8723" max="8723" width="12" style="121" customWidth="1"/>
    <col min="8724" max="8724" width="11.5" style="121" customWidth="1"/>
    <col min="8725" max="8725" width="16" style="121" customWidth="1"/>
    <col min="8726" max="8727" width="10.6640625" style="121" customWidth="1"/>
    <col min="8728" max="8728" width="15.5" style="121" customWidth="1"/>
    <col min="8729" max="8729" width="11.5" style="121" customWidth="1"/>
    <col min="8730" max="8730" width="12" style="121" customWidth="1"/>
    <col min="8731" max="8731" width="11.5" style="121" customWidth="1"/>
    <col min="8732" max="8732" width="12" style="121" customWidth="1"/>
    <col min="8733" max="8733" width="11.5" style="121" customWidth="1"/>
    <col min="8734" max="8734" width="12.83203125" style="121" customWidth="1"/>
    <col min="8735" max="8735" width="10.6640625" style="121" customWidth="1"/>
    <col min="8736" max="8736" width="19" style="121" customWidth="1"/>
    <col min="8737" max="8737" width="13.33203125" style="121" customWidth="1"/>
    <col min="8738" max="8738" width="18" style="121" customWidth="1"/>
    <col min="8739" max="8739" width="42.5" style="121" customWidth="1"/>
    <col min="8740" max="8740" width="31" style="121" customWidth="1"/>
    <col min="8741" max="8741" width="35" style="121" customWidth="1"/>
    <col min="8742" max="8742" width="31" style="121" customWidth="1"/>
    <col min="8743" max="8743" width="35" style="121" customWidth="1"/>
    <col min="8744" max="8744" width="31" style="121" customWidth="1"/>
    <col min="8745" max="8745" width="37.83203125" style="121" customWidth="1"/>
    <col min="8746" max="8746" width="11.5" style="121" customWidth="1"/>
    <col min="8747" max="8747" width="54" style="121" customWidth="1"/>
    <col min="8748" max="8748" width="43.5" style="121" customWidth="1"/>
    <col min="8749" max="8749" width="44.6640625" style="121" customWidth="1"/>
    <col min="8750" max="8959" width="6.33203125" style="121"/>
    <col min="8960" max="8961" width="2.1640625" style="121" customWidth="1"/>
    <col min="8962" max="8962" width="0" style="121" hidden="1" customWidth="1"/>
    <col min="8963" max="8965" width="12.83203125" style="121" customWidth="1"/>
    <col min="8966" max="8966" width="12" style="121" customWidth="1"/>
    <col min="8967" max="8967" width="12.33203125" style="121" customWidth="1"/>
    <col min="8968" max="8968" width="13.5" style="121" customWidth="1"/>
    <col min="8969" max="8969" width="0" style="121" hidden="1" customWidth="1"/>
    <col min="8970" max="8972" width="13" style="121" customWidth="1"/>
    <col min="8973" max="8973" width="14.83203125" style="121" customWidth="1"/>
    <col min="8974" max="8974" width="13.33203125" style="121" customWidth="1"/>
    <col min="8975" max="8975" width="13.5" style="121" customWidth="1"/>
    <col min="8976" max="8976" width="2.1640625" style="121" customWidth="1"/>
    <col min="8977" max="8977" width="13.83203125" style="121" customWidth="1"/>
    <col min="8978" max="8978" width="10.6640625" style="121" customWidth="1"/>
    <col min="8979" max="8979" width="12" style="121" customWidth="1"/>
    <col min="8980" max="8980" width="11.5" style="121" customWidth="1"/>
    <col min="8981" max="8981" width="16" style="121" customWidth="1"/>
    <col min="8982" max="8983" width="10.6640625" style="121" customWidth="1"/>
    <col min="8984" max="8984" width="15.5" style="121" customWidth="1"/>
    <col min="8985" max="8985" width="11.5" style="121" customWidth="1"/>
    <col min="8986" max="8986" width="12" style="121" customWidth="1"/>
    <col min="8987" max="8987" width="11.5" style="121" customWidth="1"/>
    <col min="8988" max="8988" width="12" style="121" customWidth="1"/>
    <col min="8989" max="8989" width="11.5" style="121" customWidth="1"/>
    <col min="8990" max="8990" width="12.83203125" style="121" customWidth="1"/>
    <col min="8991" max="8991" width="10.6640625" style="121" customWidth="1"/>
    <col min="8992" max="8992" width="19" style="121" customWidth="1"/>
    <col min="8993" max="8993" width="13.33203125" style="121" customWidth="1"/>
    <col min="8994" max="8994" width="18" style="121" customWidth="1"/>
    <col min="8995" max="8995" width="42.5" style="121" customWidth="1"/>
    <col min="8996" max="8996" width="31" style="121" customWidth="1"/>
    <col min="8997" max="8997" width="35" style="121" customWidth="1"/>
    <col min="8998" max="8998" width="31" style="121" customWidth="1"/>
    <col min="8999" max="8999" width="35" style="121" customWidth="1"/>
    <col min="9000" max="9000" width="31" style="121" customWidth="1"/>
    <col min="9001" max="9001" width="37.83203125" style="121" customWidth="1"/>
    <col min="9002" max="9002" width="11.5" style="121" customWidth="1"/>
    <col min="9003" max="9003" width="54" style="121" customWidth="1"/>
    <col min="9004" max="9004" width="43.5" style="121" customWidth="1"/>
    <col min="9005" max="9005" width="44.6640625" style="121" customWidth="1"/>
    <col min="9006" max="9215" width="6.33203125" style="121"/>
    <col min="9216" max="9217" width="2.1640625" style="121" customWidth="1"/>
    <col min="9218" max="9218" width="0" style="121" hidden="1" customWidth="1"/>
    <col min="9219" max="9221" width="12.83203125" style="121" customWidth="1"/>
    <col min="9222" max="9222" width="12" style="121" customWidth="1"/>
    <col min="9223" max="9223" width="12.33203125" style="121" customWidth="1"/>
    <col min="9224" max="9224" width="13.5" style="121" customWidth="1"/>
    <col min="9225" max="9225" width="0" style="121" hidden="1" customWidth="1"/>
    <col min="9226" max="9228" width="13" style="121" customWidth="1"/>
    <col min="9229" max="9229" width="14.83203125" style="121" customWidth="1"/>
    <col min="9230" max="9230" width="13.33203125" style="121" customWidth="1"/>
    <col min="9231" max="9231" width="13.5" style="121" customWidth="1"/>
    <col min="9232" max="9232" width="2.1640625" style="121" customWidth="1"/>
    <col min="9233" max="9233" width="13.83203125" style="121" customWidth="1"/>
    <col min="9234" max="9234" width="10.6640625" style="121" customWidth="1"/>
    <col min="9235" max="9235" width="12" style="121" customWidth="1"/>
    <col min="9236" max="9236" width="11.5" style="121" customWidth="1"/>
    <col min="9237" max="9237" width="16" style="121" customWidth="1"/>
    <col min="9238" max="9239" width="10.6640625" style="121" customWidth="1"/>
    <col min="9240" max="9240" width="15.5" style="121" customWidth="1"/>
    <col min="9241" max="9241" width="11.5" style="121" customWidth="1"/>
    <col min="9242" max="9242" width="12" style="121" customWidth="1"/>
    <col min="9243" max="9243" width="11.5" style="121" customWidth="1"/>
    <col min="9244" max="9244" width="12" style="121" customWidth="1"/>
    <col min="9245" max="9245" width="11.5" style="121" customWidth="1"/>
    <col min="9246" max="9246" width="12.83203125" style="121" customWidth="1"/>
    <col min="9247" max="9247" width="10.6640625" style="121" customWidth="1"/>
    <col min="9248" max="9248" width="19" style="121" customWidth="1"/>
    <col min="9249" max="9249" width="13.33203125" style="121" customWidth="1"/>
    <col min="9250" max="9250" width="18" style="121" customWidth="1"/>
    <col min="9251" max="9251" width="42.5" style="121" customWidth="1"/>
    <col min="9252" max="9252" width="31" style="121" customWidth="1"/>
    <col min="9253" max="9253" width="35" style="121" customWidth="1"/>
    <col min="9254" max="9254" width="31" style="121" customWidth="1"/>
    <col min="9255" max="9255" width="35" style="121" customWidth="1"/>
    <col min="9256" max="9256" width="31" style="121" customWidth="1"/>
    <col min="9257" max="9257" width="37.83203125" style="121" customWidth="1"/>
    <col min="9258" max="9258" width="11.5" style="121" customWidth="1"/>
    <col min="9259" max="9259" width="54" style="121" customWidth="1"/>
    <col min="9260" max="9260" width="43.5" style="121" customWidth="1"/>
    <col min="9261" max="9261" width="44.6640625" style="121" customWidth="1"/>
    <col min="9262" max="9471" width="6.33203125" style="121"/>
    <col min="9472" max="9473" width="2.1640625" style="121" customWidth="1"/>
    <col min="9474" max="9474" width="0" style="121" hidden="1" customWidth="1"/>
    <col min="9475" max="9477" width="12.83203125" style="121" customWidth="1"/>
    <col min="9478" max="9478" width="12" style="121" customWidth="1"/>
    <col min="9479" max="9479" width="12.33203125" style="121" customWidth="1"/>
    <col min="9480" max="9480" width="13.5" style="121" customWidth="1"/>
    <col min="9481" max="9481" width="0" style="121" hidden="1" customWidth="1"/>
    <col min="9482" max="9484" width="13" style="121" customWidth="1"/>
    <col min="9485" max="9485" width="14.83203125" style="121" customWidth="1"/>
    <col min="9486" max="9486" width="13.33203125" style="121" customWidth="1"/>
    <col min="9487" max="9487" width="13.5" style="121" customWidth="1"/>
    <col min="9488" max="9488" width="2.1640625" style="121" customWidth="1"/>
    <col min="9489" max="9489" width="13.83203125" style="121" customWidth="1"/>
    <col min="9490" max="9490" width="10.6640625" style="121" customWidth="1"/>
    <col min="9491" max="9491" width="12" style="121" customWidth="1"/>
    <col min="9492" max="9492" width="11.5" style="121" customWidth="1"/>
    <col min="9493" max="9493" width="16" style="121" customWidth="1"/>
    <col min="9494" max="9495" width="10.6640625" style="121" customWidth="1"/>
    <col min="9496" max="9496" width="15.5" style="121" customWidth="1"/>
    <col min="9497" max="9497" width="11.5" style="121" customWidth="1"/>
    <col min="9498" max="9498" width="12" style="121" customWidth="1"/>
    <col min="9499" max="9499" width="11.5" style="121" customWidth="1"/>
    <col min="9500" max="9500" width="12" style="121" customWidth="1"/>
    <col min="9501" max="9501" width="11.5" style="121" customWidth="1"/>
    <col min="9502" max="9502" width="12.83203125" style="121" customWidth="1"/>
    <col min="9503" max="9503" width="10.6640625" style="121" customWidth="1"/>
    <col min="9504" max="9504" width="19" style="121" customWidth="1"/>
    <col min="9505" max="9505" width="13.33203125" style="121" customWidth="1"/>
    <col min="9506" max="9506" width="18" style="121" customWidth="1"/>
    <col min="9507" max="9507" width="42.5" style="121" customWidth="1"/>
    <col min="9508" max="9508" width="31" style="121" customWidth="1"/>
    <col min="9509" max="9509" width="35" style="121" customWidth="1"/>
    <col min="9510" max="9510" width="31" style="121" customWidth="1"/>
    <col min="9511" max="9511" width="35" style="121" customWidth="1"/>
    <col min="9512" max="9512" width="31" style="121" customWidth="1"/>
    <col min="9513" max="9513" width="37.83203125" style="121" customWidth="1"/>
    <col min="9514" max="9514" width="11.5" style="121" customWidth="1"/>
    <col min="9515" max="9515" width="54" style="121" customWidth="1"/>
    <col min="9516" max="9516" width="43.5" style="121" customWidth="1"/>
    <col min="9517" max="9517" width="44.6640625" style="121" customWidth="1"/>
    <col min="9518" max="9727" width="6.33203125" style="121"/>
    <col min="9728" max="9729" width="2.1640625" style="121" customWidth="1"/>
    <col min="9730" max="9730" width="0" style="121" hidden="1" customWidth="1"/>
    <col min="9731" max="9733" width="12.83203125" style="121" customWidth="1"/>
    <col min="9734" max="9734" width="12" style="121" customWidth="1"/>
    <col min="9735" max="9735" width="12.33203125" style="121" customWidth="1"/>
    <col min="9736" max="9736" width="13.5" style="121" customWidth="1"/>
    <col min="9737" max="9737" width="0" style="121" hidden="1" customWidth="1"/>
    <col min="9738" max="9740" width="13" style="121" customWidth="1"/>
    <col min="9741" max="9741" width="14.83203125" style="121" customWidth="1"/>
    <col min="9742" max="9742" width="13.33203125" style="121" customWidth="1"/>
    <col min="9743" max="9743" width="13.5" style="121" customWidth="1"/>
    <col min="9744" max="9744" width="2.1640625" style="121" customWidth="1"/>
    <col min="9745" max="9745" width="13.83203125" style="121" customWidth="1"/>
    <col min="9746" max="9746" width="10.6640625" style="121" customWidth="1"/>
    <col min="9747" max="9747" width="12" style="121" customWidth="1"/>
    <col min="9748" max="9748" width="11.5" style="121" customWidth="1"/>
    <col min="9749" max="9749" width="16" style="121" customWidth="1"/>
    <col min="9750" max="9751" width="10.6640625" style="121" customWidth="1"/>
    <col min="9752" max="9752" width="15.5" style="121" customWidth="1"/>
    <col min="9753" max="9753" width="11.5" style="121" customWidth="1"/>
    <col min="9754" max="9754" width="12" style="121" customWidth="1"/>
    <col min="9755" max="9755" width="11.5" style="121" customWidth="1"/>
    <col min="9756" max="9756" width="12" style="121" customWidth="1"/>
    <col min="9757" max="9757" width="11.5" style="121" customWidth="1"/>
    <col min="9758" max="9758" width="12.83203125" style="121" customWidth="1"/>
    <col min="9759" max="9759" width="10.6640625" style="121" customWidth="1"/>
    <col min="9760" max="9760" width="19" style="121" customWidth="1"/>
    <col min="9761" max="9761" width="13.33203125" style="121" customWidth="1"/>
    <col min="9762" max="9762" width="18" style="121" customWidth="1"/>
    <col min="9763" max="9763" width="42.5" style="121" customWidth="1"/>
    <col min="9764" max="9764" width="31" style="121" customWidth="1"/>
    <col min="9765" max="9765" width="35" style="121" customWidth="1"/>
    <col min="9766" max="9766" width="31" style="121" customWidth="1"/>
    <col min="9767" max="9767" width="35" style="121" customWidth="1"/>
    <col min="9768" max="9768" width="31" style="121" customWidth="1"/>
    <col min="9769" max="9769" width="37.83203125" style="121" customWidth="1"/>
    <col min="9770" max="9770" width="11.5" style="121" customWidth="1"/>
    <col min="9771" max="9771" width="54" style="121" customWidth="1"/>
    <col min="9772" max="9772" width="43.5" style="121" customWidth="1"/>
    <col min="9773" max="9773" width="44.6640625" style="121" customWidth="1"/>
    <col min="9774" max="9983" width="6.33203125" style="121"/>
    <col min="9984" max="9985" width="2.1640625" style="121" customWidth="1"/>
    <col min="9986" max="9986" width="0" style="121" hidden="1" customWidth="1"/>
    <col min="9987" max="9989" width="12.83203125" style="121" customWidth="1"/>
    <col min="9990" max="9990" width="12" style="121" customWidth="1"/>
    <col min="9991" max="9991" width="12.33203125" style="121" customWidth="1"/>
    <col min="9992" max="9992" width="13.5" style="121" customWidth="1"/>
    <col min="9993" max="9993" width="0" style="121" hidden="1" customWidth="1"/>
    <col min="9994" max="9996" width="13" style="121" customWidth="1"/>
    <col min="9997" max="9997" width="14.83203125" style="121" customWidth="1"/>
    <col min="9998" max="9998" width="13.33203125" style="121" customWidth="1"/>
    <col min="9999" max="9999" width="13.5" style="121" customWidth="1"/>
    <col min="10000" max="10000" width="2.1640625" style="121" customWidth="1"/>
    <col min="10001" max="10001" width="13.83203125" style="121" customWidth="1"/>
    <col min="10002" max="10002" width="10.6640625" style="121" customWidth="1"/>
    <col min="10003" max="10003" width="12" style="121" customWidth="1"/>
    <col min="10004" max="10004" width="11.5" style="121" customWidth="1"/>
    <col min="10005" max="10005" width="16" style="121" customWidth="1"/>
    <col min="10006" max="10007" width="10.6640625" style="121" customWidth="1"/>
    <col min="10008" max="10008" width="15.5" style="121" customWidth="1"/>
    <col min="10009" max="10009" width="11.5" style="121" customWidth="1"/>
    <col min="10010" max="10010" width="12" style="121" customWidth="1"/>
    <col min="10011" max="10011" width="11.5" style="121" customWidth="1"/>
    <col min="10012" max="10012" width="12" style="121" customWidth="1"/>
    <col min="10013" max="10013" width="11.5" style="121" customWidth="1"/>
    <col min="10014" max="10014" width="12.83203125" style="121" customWidth="1"/>
    <col min="10015" max="10015" width="10.6640625" style="121" customWidth="1"/>
    <col min="10016" max="10016" width="19" style="121" customWidth="1"/>
    <col min="10017" max="10017" width="13.33203125" style="121" customWidth="1"/>
    <col min="10018" max="10018" width="18" style="121" customWidth="1"/>
    <col min="10019" max="10019" width="42.5" style="121" customWidth="1"/>
    <col min="10020" max="10020" width="31" style="121" customWidth="1"/>
    <col min="10021" max="10021" width="35" style="121" customWidth="1"/>
    <col min="10022" max="10022" width="31" style="121" customWidth="1"/>
    <col min="10023" max="10023" width="35" style="121" customWidth="1"/>
    <col min="10024" max="10024" width="31" style="121" customWidth="1"/>
    <col min="10025" max="10025" width="37.83203125" style="121" customWidth="1"/>
    <col min="10026" max="10026" width="11.5" style="121" customWidth="1"/>
    <col min="10027" max="10027" width="54" style="121" customWidth="1"/>
    <col min="10028" max="10028" width="43.5" style="121" customWidth="1"/>
    <col min="10029" max="10029" width="44.6640625" style="121" customWidth="1"/>
    <col min="10030" max="10239" width="6.33203125" style="121"/>
    <col min="10240" max="10241" width="2.1640625" style="121" customWidth="1"/>
    <col min="10242" max="10242" width="0" style="121" hidden="1" customWidth="1"/>
    <col min="10243" max="10245" width="12.83203125" style="121" customWidth="1"/>
    <col min="10246" max="10246" width="12" style="121" customWidth="1"/>
    <col min="10247" max="10247" width="12.33203125" style="121" customWidth="1"/>
    <col min="10248" max="10248" width="13.5" style="121" customWidth="1"/>
    <col min="10249" max="10249" width="0" style="121" hidden="1" customWidth="1"/>
    <col min="10250" max="10252" width="13" style="121" customWidth="1"/>
    <col min="10253" max="10253" width="14.83203125" style="121" customWidth="1"/>
    <col min="10254" max="10254" width="13.33203125" style="121" customWidth="1"/>
    <col min="10255" max="10255" width="13.5" style="121" customWidth="1"/>
    <col min="10256" max="10256" width="2.1640625" style="121" customWidth="1"/>
    <col min="10257" max="10257" width="13.83203125" style="121" customWidth="1"/>
    <col min="10258" max="10258" width="10.6640625" style="121" customWidth="1"/>
    <col min="10259" max="10259" width="12" style="121" customWidth="1"/>
    <col min="10260" max="10260" width="11.5" style="121" customWidth="1"/>
    <col min="10261" max="10261" width="16" style="121" customWidth="1"/>
    <col min="10262" max="10263" width="10.6640625" style="121" customWidth="1"/>
    <col min="10264" max="10264" width="15.5" style="121" customWidth="1"/>
    <col min="10265" max="10265" width="11.5" style="121" customWidth="1"/>
    <col min="10266" max="10266" width="12" style="121" customWidth="1"/>
    <col min="10267" max="10267" width="11.5" style="121" customWidth="1"/>
    <col min="10268" max="10268" width="12" style="121" customWidth="1"/>
    <col min="10269" max="10269" width="11.5" style="121" customWidth="1"/>
    <col min="10270" max="10270" width="12.83203125" style="121" customWidth="1"/>
    <col min="10271" max="10271" width="10.6640625" style="121" customWidth="1"/>
    <col min="10272" max="10272" width="19" style="121" customWidth="1"/>
    <col min="10273" max="10273" width="13.33203125" style="121" customWidth="1"/>
    <col min="10274" max="10274" width="18" style="121" customWidth="1"/>
    <col min="10275" max="10275" width="42.5" style="121" customWidth="1"/>
    <col min="10276" max="10276" width="31" style="121" customWidth="1"/>
    <col min="10277" max="10277" width="35" style="121" customWidth="1"/>
    <col min="10278" max="10278" width="31" style="121" customWidth="1"/>
    <col min="10279" max="10279" width="35" style="121" customWidth="1"/>
    <col min="10280" max="10280" width="31" style="121" customWidth="1"/>
    <col min="10281" max="10281" width="37.83203125" style="121" customWidth="1"/>
    <col min="10282" max="10282" width="11.5" style="121" customWidth="1"/>
    <col min="10283" max="10283" width="54" style="121" customWidth="1"/>
    <col min="10284" max="10284" width="43.5" style="121" customWidth="1"/>
    <col min="10285" max="10285" width="44.6640625" style="121" customWidth="1"/>
    <col min="10286" max="10495" width="6.33203125" style="121"/>
    <col min="10496" max="10497" width="2.1640625" style="121" customWidth="1"/>
    <col min="10498" max="10498" width="0" style="121" hidden="1" customWidth="1"/>
    <col min="10499" max="10501" width="12.83203125" style="121" customWidth="1"/>
    <col min="10502" max="10502" width="12" style="121" customWidth="1"/>
    <col min="10503" max="10503" width="12.33203125" style="121" customWidth="1"/>
    <col min="10504" max="10504" width="13.5" style="121" customWidth="1"/>
    <col min="10505" max="10505" width="0" style="121" hidden="1" customWidth="1"/>
    <col min="10506" max="10508" width="13" style="121" customWidth="1"/>
    <col min="10509" max="10509" width="14.83203125" style="121" customWidth="1"/>
    <col min="10510" max="10510" width="13.33203125" style="121" customWidth="1"/>
    <col min="10511" max="10511" width="13.5" style="121" customWidth="1"/>
    <col min="10512" max="10512" width="2.1640625" style="121" customWidth="1"/>
    <col min="10513" max="10513" width="13.83203125" style="121" customWidth="1"/>
    <col min="10514" max="10514" width="10.6640625" style="121" customWidth="1"/>
    <col min="10515" max="10515" width="12" style="121" customWidth="1"/>
    <col min="10516" max="10516" width="11.5" style="121" customWidth="1"/>
    <col min="10517" max="10517" width="16" style="121" customWidth="1"/>
    <col min="10518" max="10519" width="10.6640625" style="121" customWidth="1"/>
    <col min="10520" max="10520" width="15.5" style="121" customWidth="1"/>
    <col min="10521" max="10521" width="11.5" style="121" customWidth="1"/>
    <col min="10522" max="10522" width="12" style="121" customWidth="1"/>
    <col min="10523" max="10523" width="11.5" style="121" customWidth="1"/>
    <col min="10524" max="10524" width="12" style="121" customWidth="1"/>
    <col min="10525" max="10525" width="11.5" style="121" customWidth="1"/>
    <col min="10526" max="10526" width="12.83203125" style="121" customWidth="1"/>
    <col min="10527" max="10527" width="10.6640625" style="121" customWidth="1"/>
    <col min="10528" max="10528" width="19" style="121" customWidth="1"/>
    <col min="10529" max="10529" width="13.33203125" style="121" customWidth="1"/>
    <col min="10530" max="10530" width="18" style="121" customWidth="1"/>
    <col min="10531" max="10531" width="42.5" style="121" customWidth="1"/>
    <col min="10532" max="10532" width="31" style="121" customWidth="1"/>
    <col min="10533" max="10533" width="35" style="121" customWidth="1"/>
    <col min="10534" max="10534" width="31" style="121" customWidth="1"/>
    <col min="10535" max="10535" width="35" style="121" customWidth="1"/>
    <col min="10536" max="10536" width="31" style="121" customWidth="1"/>
    <col min="10537" max="10537" width="37.83203125" style="121" customWidth="1"/>
    <col min="10538" max="10538" width="11.5" style="121" customWidth="1"/>
    <col min="10539" max="10539" width="54" style="121" customWidth="1"/>
    <col min="10540" max="10540" width="43.5" style="121" customWidth="1"/>
    <col min="10541" max="10541" width="44.6640625" style="121" customWidth="1"/>
    <col min="10542" max="10751" width="6.33203125" style="121"/>
    <col min="10752" max="10753" width="2.1640625" style="121" customWidth="1"/>
    <col min="10754" max="10754" width="0" style="121" hidden="1" customWidth="1"/>
    <col min="10755" max="10757" width="12.83203125" style="121" customWidth="1"/>
    <col min="10758" max="10758" width="12" style="121" customWidth="1"/>
    <col min="10759" max="10759" width="12.33203125" style="121" customWidth="1"/>
    <col min="10760" max="10760" width="13.5" style="121" customWidth="1"/>
    <col min="10761" max="10761" width="0" style="121" hidden="1" customWidth="1"/>
    <col min="10762" max="10764" width="13" style="121" customWidth="1"/>
    <col min="10765" max="10765" width="14.83203125" style="121" customWidth="1"/>
    <col min="10766" max="10766" width="13.33203125" style="121" customWidth="1"/>
    <col min="10767" max="10767" width="13.5" style="121" customWidth="1"/>
    <col min="10768" max="10768" width="2.1640625" style="121" customWidth="1"/>
    <col min="10769" max="10769" width="13.83203125" style="121" customWidth="1"/>
    <col min="10770" max="10770" width="10.6640625" style="121" customWidth="1"/>
    <col min="10771" max="10771" width="12" style="121" customWidth="1"/>
    <col min="10772" max="10772" width="11.5" style="121" customWidth="1"/>
    <col min="10773" max="10773" width="16" style="121" customWidth="1"/>
    <col min="10774" max="10775" width="10.6640625" style="121" customWidth="1"/>
    <col min="10776" max="10776" width="15.5" style="121" customWidth="1"/>
    <col min="10777" max="10777" width="11.5" style="121" customWidth="1"/>
    <col min="10778" max="10778" width="12" style="121" customWidth="1"/>
    <col min="10779" max="10779" width="11.5" style="121" customWidth="1"/>
    <col min="10780" max="10780" width="12" style="121" customWidth="1"/>
    <col min="10781" max="10781" width="11.5" style="121" customWidth="1"/>
    <col min="10782" max="10782" width="12.83203125" style="121" customWidth="1"/>
    <col min="10783" max="10783" width="10.6640625" style="121" customWidth="1"/>
    <col min="10784" max="10784" width="19" style="121" customWidth="1"/>
    <col min="10785" max="10785" width="13.33203125" style="121" customWidth="1"/>
    <col min="10786" max="10786" width="18" style="121" customWidth="1"/>
    <col min="10787" max="10787" width="42.5" style="121" customWidth="1"/>
    <col min="10788" max="10788" width="31" style="121" customWidth="1"/>
    <col min="10789" max="10789" width="35" style="121" customWidth="1"/>
    <col min="10790" max="10790" width="31" style="121" customWidth="1"/>
    <col min="10791" max="10791" width="35" style="121" customWidth="1"/>
    <col min="10792" max="10792" width="31" style="121" customWidth="1"/>
    <col min="10793" max="10793" width="37.83203125" style="121" customWidth="1"/>
    <col min="10794" max="10794" width="11.5" style="121" customWidth="1"/>
    <col min="10795" max="10795" width="54" style="121" customWidth="1"/>
    <col min="10796" max="10796" width="43.5" style="121" customWidth="1"/>
    <col min="10797" max="10797" width="44.6640625" style="121" customWidth="1"/>
    <col min="10798" max="11007" width="6.33203125" style="121"/>
    <col min="11008" max="11009" width="2.1640625" style="121" customWidth="1"/>
    <col min="11010" max="11010" width="0" style="121" hidden="1" customWidth="1"/>
    <col min="11011" max="11013" width="12.83203125" style="121" customWidth="1"/>
    <col min="11014" max="11014" width="12" style="121" customWidth="1"/>
    <col min="11015" max="11015" width="12.33203125" style="121" customWidth="1"/>
    <col min="11016" max="11016" width="13.5" style="121" customWidth="1"/>
    <col min="11017" max="11017" width="0" style="121" hidden="1" customWidth="1"/>
    <col min="11018" max="11020" width="13" style="121" customWidth="1"/>
    <col min="11021" max="11021" width="14.83203125" style="121" customWidth="1"/>
    <col min="11022" max="11022" width="13.33203125" style="121" customWidth="1"/>
    <col min="11023" max="11023" width="13.5" style="121" customWidth="1"/>
    <col min="11024" max="11024" width="2.1640625" style="121" customWidth="1"/>
    <col min="11025" max="11025" width="13.83203125" style="121" customWidth="1"/>
    <col min="11026" max="11026" width="10.6640625" style="121" customWidth="1"/>
    <col min="11027" max="11027" width="12" style="121" customWidth="1"/>
    <col min="11028" max="11028" width="11.5" style="121" customWidth="1"/>
    <col min="11029" max="11029" width="16" style="121" customWidth="1"/>
    <col min="11030" max="11031" width="10.6640625" style="121" customWidth="1"/>
    <col min="11032" max="11032" width="15.5" style="121" customWidth="1"/>
    <col min="11033" max="11033" width="11.5" style="121" customWidth="1"/>
    <col min="11034" max="11034" width="12" style="121" customWidth="1"/>
    <col min="11035" max="11035" width="11.5" style="121" customWidth="1"/>
    <col min="11036" max="11036" width="12" style="121" customWidth="1"/>
    <col min="11037" max="11037" width="11.5" style="121" customWidth="1"/>
    <col min="11038" max="11038" width="12.83203125" style="121" customWidth="1"/>
    <col min="11039" max="11039" width="10.6640625" style="121" customWidth="1"/>
    <col min="11040" max="11040" width="19" style="121" customWidth="1"/>
    <col min="11041" max="11041" width="13.33203125" style="121" customWidth="1"/>
    <col min="11042" max="11042" width="18" style="121" customWidth="1"/>
    <col min="11043" max="11043" width="42.5" style="121" customWidth="1"/>
    <col min="11044" max="11044" width="31" style="121" customWidth="1"/>
    <col min="11045" max="11045" width="35" style="121" customWidth="1"/>
    <col min="11046" max="11046" width="31" style="121" customWidth="1"/>
    <col min="11047" max="11047" width="35" style="121" customWidth="1"/>
    <col min="11048" max="11048" width="31" style="121" customWidth="1"/>
    <col min="11049" max="11049" width="37.83203125" style="121" customWidth="1"/>
    <col min="11050" max="11050" width="11.5" style="121" customWidth="1"/>
    <col min="11051" max="11051" width="54" style="121" customWidth="1"/>
    <col min="11052" max="11052" width="43.5" style="121" customWidth="1"/>
    <col min="11053" max="11053" width="44.6640625" style="121" customWidth="1"/>
    <col min="11054" max="11263" width="6.33203125" style="121"/>
    <col min="11264" max="11265" width="2.1640625" style="121" customWidth="1"/>
    <col min="11266" max="11266" width="0" style="121" hidden="1" customWidth="1"/>
    <col min="11267" max="11269" width="12.83203125" style="121" customWidth="1"/>
    <col min="11270" max="11270" width="12" style="121" customWidth="1"/>
    <col min="11271" max="11271" width="12.33203125" style="121" customWidth="1"/>
    <col min="11272" max="11272" width="13.5" style="121" customWidth="1"/>
    <col min="11273" max="11273" width="0" style="121" hidden="1" customWidth="1"/>
    <col min="11274" max="11276" width="13" style="121" customWidth="1"/>
    <col min="11277" max="11277" width="14.83203125" style="121" customWidth="1"/>
    <col min="11278" max="11278" width="13.33203125" style="121" customWidth="1"/>
    <col min="11279" max="11279" width="13.5" style="121" customWidth="1"/>
    <col min="11280" max="11280" width="2.1640625" style="121" customWidth="1"/>
    <col min="11281" max="11281" width="13.83203125" style="121" customWidth="1"/>
    <col min="11282" max="11282" width="10.6640625" style="121" customWidth="1"/>
    <col min="11283" max="11283" width="12" style="121" customWidth="1"/>
    <col min="11284" max="11284" width="11.5" style="121" customWidth="1"/>
    <col min="11285" max="11285" width="16" style="121" customWidth="1"/>
    <col min="11286" max="11287" width="10.6640625" style="121" customWidth="1"/>
    <col min="11288" max="11288" width="15.5" style="121" customWidth="1"/>
    <col min="11289" max="11289" width="11.5" style="121" customWidth="1"/>
    <col min="11290" max="11290" width="12" style="121" customWidth="1"/>
    <col min="11291" max="11291" width="11.5" style="121" customWidth="1"/>
    <col min="11292" max="11292" width="12" style="121" customWidth="1"/>
    <col min="11293" max="11293" width="11.5" style="121" customWidth="1"/>
    <col min="11294" max="11294" width="12.83203125" style="121" customWidth="1"/>
    <col min="11295" max="11295" width="10.6640625" style="121" customWidth="1"/>
    <col min="11296" max="11296" width="19" style="121" customWidth="1"/>
    <col min="11297" max="11297" width="13.33203125" style="121" customWidth="1"/>
    <col min="11298" max="11298" width="18" style="121" customWidth="1"/>
    <col min="11299" max="11299" width="42.5" style="121" customWidth="1"/>
    <col min="11300" max="11300" width="31" style="121" customWidth="1"/>
    <col min="11301" max="11301" width="35" style="121" customWidth="1"/>
    <col min="11302" max="11302" width="31" style="121" customWidth="1"/>
    <col min="11303" max="11303" width="35" style="121" customWidth="1"/>
    <col min="11304" max="11304" width="31" style="121" customWidth="1"/>
    <col min="11305" max="11305" width="37.83203125" style="121" customWidth="1"/>
    <col min="11306" max="11306" width="11.5" style="121" customWidth="1"/>
    <col min="11307" max="11307" width="54" style="121" customWidth="1"/>
    <col min="11308" max="11308" width="43.5" style="121" customWidth="1"/>
    <col min="11309" max="11309" width="44.6640625" style="121" customWidth="1"/>
    <col min="11310" max="11519" width="6.33203125" style="121"/>
    <col min="11520" max="11521" width="2.1640625" style="121" customWidth="1"/>
    <col min="11522" max="11522" width="0" style="121" hidden="1" customWidth="1"/>
    <col min="11523" max="11525" width="12.83203125" style="121" customWidth="1"/>
    <col min="11526" max="11526" width="12" style="121" customWidth="1"/>
    <col min="11527" max="11527" width="12.33203125" style="121" customWidth="1"/>
    <col min="11528" max="11528" width="13.5" style="121" customWidth="1"/>
    <col min="11529" max="11529" width="0" style="121" hidden="1" customWidth="1"/>
    <col min="11530" max="11532" width="13" style="121" customWidth="1"/>
    <col min="11533" max="11533" width="14.83203125" style="121" customWidth="1"/>
    <col min="11534" max="11534" width="13.33203125" style="121" customWidth="1"/>
    <col min="11535" max="11535" width="13.5" style="121" customWidth="1"/>
    <col min="11536" max="11536" width="2.1640625" style="121" customWidth="1"/>
    <col min="11537" max="11537" width="13.83203125" style="121" customWidth="1"/>
    <col min="11538" max="11538" width="10.6640625" style="121" customWidth="1"/>
    <col min="11539" max="11539" width="12" style="121" customWidth="1"/>
    <col min="11540" max="11540" width="11.5" style="121" customWidth="1"/>
    <col min="11541" max="11541" width="16" style="121" customWidth="1"/>
    <col min="11542" max="11543" width="10.6640625" style="121" customWidth="1"/>
    <col min="11544" max="11544" width="15.5" style="121" customWidth="1"/>
    <col min="11545" max="11545" width="11.5" style="121" customWidth="1"/>
    <col min="11546" max="11546" width="12" style="121" customWidth="1"/>
    <col min="11547" max="11547" width="11.5" style="121" customWidth="1"/>
    <col min="11548" max="11548" width="12" style="121" customWidth="1"/>
    <col min="11549" max="11549" width="11.5" style="121" customWidth="1"/>
    <col min="11550" max="11550" width="12.83203125" style="121" customWidth="1"/>
    <col min="11551" max="11551" width="10.6640625" style="121" customWidth="1"/>
    <col min="11552" max="11552" width="19" style="121" customWidth="1"/>
    <col min="11553" max="11553" width="13.33203125" style="121" customWidth="1"/>
    <col min="11554" max="11554" width="18" style="121" customWidth="1"/>
    <col min="11555" max="11555" width="42.5" style="121" customWidth="1"/>
    <col min="11556" max="11556" width="31" style="121" customWidth="1"/>
    <col min="11557" max="11557" width="35" style="121" customWidth="1"/>
    <col min="11558" max="11558" width="31" style="121" customWidth="1"/>
    <col min="11559" max="11559" width="35" style="121" customWidth="1"/>
    <col min="11560" max="11560" width="31" style="121" customWidth="1"/>
    <col min="11561" max="11561" width="37.83203125" style="121" customWidth="1"/>
    <col min="11562" max="11562" width="11.5" style="121" customWidth="1"/>
    <col min="11563" max="11563" width="54" style="121" customWidth="1"/>
    <col min="11564" max="11564" width="43.5" style="121" customWidth="1"/>
    <col min="11565" max="11565" width="44.6640625" style="121" customWidth="1"/>
    <col min="11566" max="11775" width="6.33203125" style="121"/>
    <col min="11776" max="11777" width="2.1640625" style="121" customWidth="1"/>
    <col min="11778" max="11778" width="0" style="121" hidden="1" customWidth="1"/>
    <col min="11779" max="11781" width="12.83203125" style="121" customWidth="1"/>
    <col min="11782" max="11782" width="12" style="121" customWidth="1"/>
    <col min="11783" max="11783" width="12.33203125" style="121" customWidth="1"/>
    <col min="11784" max="11784" width="13.5" style="121" customWidth="1"/>
    <col min="11785" max="11785" width="0" style="121" hidden="1" customWidth="1"/>
    <col min="11786" max="11788" width="13" style="121" customWidth="1"/>
    <col min="11789" max="11789" width="14.83203125" style="121" customWidth="1"/>
    <col min="11790" max="11790" width="13.33203125" style="121" customWidth="1"/>
    <col min="11791" max="11791" width="13.5" style="121" customWidth="1"/>
    <col min="11792" max="11792" width="2.1640625" style="121" customWidth="1"/>
    <col min="11793" max="11793" width="13.83203125" style="121" customWidth="1"/>
    <col min="11794" max="11794" width="10.6640625" style="121" customWidth="1"/>
    <col min="11795" max="11795" width="12" style="121" customWidth="1"/>
    <col min="11796" max="11796" width="11.5" style="121" customWidth="1"/>
    <col min="11797" max="11797" width="16" style="121" customWidth="1"/>
    <col min="11798" max="11799" width="10.6640625" style="121" customWidth="1"/>
    <col min="11800" max="11800" width="15.5" style="121" customWidth="1"/>
    <col min="11801" max="11801" width="11.5" style="121" customWidth="1"/>
    <col min="11802" max="11802" width="12" style="121" customWidth="1"/>
    <col min="11803" max="11803" width="11.5" style="121" customWidth="1"/>
    <col min="11804" max="11804" width="12" style="121" customWidth="1"/>
    <col min="11805" max="11805" width="11.5" style="121" customWidth="1"/>
    <col min="11806" max="11806" width="12.83203125" style="121" customWidth="1"/>
    <col min="11807" max="11807" width="10.6640625" style="121" customWidth="1"/>
    <col min="11808" max="11808" width="19" style="121" customWidth="1"/>
    <col min="11809" max="11809" width="13.33203125" style="121" customWidth="1"/>
    <col min="11810" max="11810" width="18" style="121" customWidth="1"/>
    <col min="11811" max="11811" width="42.5" style="121" customWidth="1"/>
    <col min="11812" max="11812" width="31" style="121" customWidth="1"/>
    <col min="11813" max="11813" width="35" style="121" customWidth="1"/>
    <col min="11814" max="11814" width="31" style="121" customWidth="1"/>
    <col min="11815" max="11815" width="35" style="121" customWidth="1"/>
    <col min="11816" max="11816" width="31" style="121" customWidth="1"/>
    <col min="11817" max="11817" width="37.83203125" style="121" customWidth="1"/>
    <col min="11818" max="11818" width="11.5" style="121" customWidth="1"/>
    <col min="11819" max="11819" width="54" style="121" customWidth="1"/>
    <col min="11820" max="11820" width="43.5" style="121" customWidth="1"/>
    <col min="11821" max="11821" width="44.6640625" style="121" customWidth="1"/>
    <col min="11822" max="12031" width="6.33203125" style="121"/>
    <col min="12032" max="12033" width="2.1640625" style="121" customWidth="1"/>
    <col min="12034" max="12034" width="0" style="121" hidden="1" customWidth="1"/>
    <col min="12035" max="12037" width="12.83203125" style="121" customWidth="1"/>
    <col min="12038" max="12038" width="12" style="121" customWidth="1"/>
    <col min="12039" max="12039" width="12.33203125" style="121" customWidth="1"/>
    <col min="12040" max="12040" width="13.5" style="121" customWidth="1"/>
    <col min="12041" max="12041" width="0" style="121" hidden="1" customWidth="1"/>
    <col min="12042" max="12044" width="13" style="121" customWidth="1"/>
    <col min="12045" max="12045" width="14.83203125" style="121" customWidth="1"/>
    <col min="12046" max="12046" width="13.33203125" style="121" customWidth="1"/>
    <col min="12047" max="12047" width="13.5" style="121" customWidth="1"/>
    <col min="12048" max="12048" width="2.1640625" style="121" customWidth="1"/>
    <col min="12049" max="12049" width="13.83203125" style="121" customWidth="1"/>
    <col min="12050" max="12050" width="10.6640625" style="121" customWidth="1"/>
    <col min="12051" max="12051" width="12" style="121" customWidth="1"/>
    <col min="12052" max="12052" width="11.5" style="121" customWidth="1"/>
    <col min="12053" max="12053" width="16" style="121" customWidth="1"/>
    <col min="12054" max="12055" width="10.6640625" style="121" customWidth="1"/>
    <col min="12056" max="12056" width="15.5" style="121" customWidth="1"/>
    <col min="12057" max="12057" width="11.5" style="121" customWidth="1"/>
    <col min="12058" max="12058" width="12" style="121" customWidth="1"/>
    <col min="12059" max="12059" width="11.5" style="121" customWidth="1"/>
    <col min="12060" max="12060" width="12" style="121" customWidth="1"/>
    <col min="12061" max="12061" width="11.5" style="121" customWidth="1"/>
    <col min="12062" max="12062" width="12.83203125" style="121" customWidth="1"/>
    <col min="12063" max="12063" width="10.6640625" style="121" customWidth="1"/>
    <col min="12064" max="12064" width="19" style="121" customWidth="1"/>
    <col min="12065" max="12065" width="13.33203125" style="121" customWidth="1"/>
    <col min="12066" max="12066" width="18" style="121" customWidth="1"/>
    <col min="12067" max="12067" width="42.5" style="121" customWidth="1"/>
    <col min="12068" max="12068" width="31" style="121" customWidth="1"/>
    <col min="12069" max="12069" width="35" style="121" customWidth="1"/>
    <col min="12070" max="12070" width="31" style="121" customWidth="1"/>
    <col min="12071" max="12071" width="35" style="121" customWidth="1"/>
    <col min="12072" max="12072" width="31" style="121" customWidth="1"/>
    <col min="12073" max="12073" width="37.83203125" style="121" customWidth="1"/>
    <col min="12074" max="12074" width="11.5" style="121" customWidth="1"/>
    <col min="12075" max="12075" width="54" style="121" customWidth="1"/>
    <col min="12076" max="12076" width="43.5" style="121" customWidth="1"/>
    <col min="12077" max="12077" width="44.6640625" style="121" customWidth="1"/>
    <col min="12078" max="12287" width="6.33203125" style="121"/>
    <col min="12288" max="12289" width="2.1640625" style="121" customWidth="1"/>
    <col min="12290" max="12290" width="0" style="121" hidden="1" customWidth="1"/>
    <col min="12291" max="12293" width="12.83203125" style="121" customWidth="1"/>
    <col min="12294" max="12294" width="12" style="121" customWidth="1"/>
    <col min="12295" max="12295" width="12.33203125" style="121" customWidth="1"/>
    <col min="12296" max="12296" width="13.5" style="121" customWidth="1"/>
    <col min="12297" max="12297" width="0" style="121" hidden="1" customWidth="1"/>
    <col min="12298" max="12300" width="13" style="121" customWidth="1"/>
    <col min="12301" max="12301" width="14.83203125" style="121" customWidth="1"/>
    <col min="12302" max="12302" width="13.33203125" style="121" customWidth="1"/>
    <col min="12303" max="12303" width="13.5" style="121" customWidth="1"/>
    <col min="12304" max="12304" width="2.1640625" style="121" customWidth="1"/>
    <col min="12305" max="12305" width="13.83203125" style="121" customWidth="1"/>
    <col min="12306" max="12306" width="10.6640625" style="121" customWidth="1"/>
    <col min="12307" max="12307" width="12" style="121" customWidth="1"/>
    <col min="12308" max="12308" width="11.5" style="121" customWidth="1"/>
    <col min="12309" max="12309" width="16" style="121" customWidth="1"/>
    <col min="12310" max="12311" width="10.6640625" style="121" customWidth="1"/>
    <col min="12312" max="12312" width="15.5" style="121" customWidth="1"/>
    <col min="12313" max="12313" width="11.5" style="121" customWidth="1"/>
    <col min="12314" max="12314" width="12" style="121" customWidth="1"/>
    <col min="12315" max="12315" width="11.5" style="121" customWidth="1"/>
    <col min="12316" max="12316" width="12" style="121" customWidth="1"/>
    <col min="12317" max="12317" width="11.5" style="121" customWidth="1"/>
    <col min="12318" max="12318" width="12.83203125" style="121" customWidth="1"/>
    <col min="12319" max="12319" width="10.6640625" style="121" customWidth="1"/>
    <col min="12320" max="12320" width="19" style="121" customWidth="1"/>
    <col min="12321" max="12321" width="13.33203125" style="121" customWidth="1"/>
    <col min="12322" max="12322" width="18" style="121" customWidth="1"/>
    <col min="12323" max="12323" width="42.5" style="121" customWidth="1"/>
    <col min="12324" max="12324" width="31" style="121" customWidth="1"/>
    <col min="12325" max="12325" width="35" style="121" customWidth="1"/>
    <col min="12326" max="12326" width="31" style="121" customWidth="1"/>
    <col min="12327" max="12327" width="35" style="121" customWidth="1"/>
    <col min="12328" max="12328" width="31" style="121" customWidth="1"/>
    <col min="12329" max="12329" width="37.83203125" style="121" customWidth="1"/>
    <col min="12330" max="12330" width="11.5" style="121" customWidth="1"/>
    <col min="12331" max="12331" width="54" style="121" customWidth="1"/>
    <col min="12332" max="12332" width="43.5" style="121" customWidth="1"/>
    <col min="12333" max="12333" width="44.6640625" style="121" customWidth="1"/>
    <col min="12334" max="12543" width="6.33203125" style="121"/>
    <col min="12544" max="12545" width="2.1640625" style="121" customWidth="1"/>
    <col min="12546" max="12546" width="0" style="121" hidden="1" customWidth="1"/>
    <col min="12547" max="12549" width="12.83203125" style="121" customWidth="1"/>
    <col min="12550" max="12550" width="12" style="121" customWidth="1"/>
    <col min="12551" max="12551" width="12.33203125" style="121" customWidth="1"/>
    <col min="12552" max="12552" width="13.5" style="121" customWidth="1"/>
    <col min="12553" max="12553" width="0" style="121" hidden="1" customWidth="1"/>
    <col min="12554" max="12556" width="13" style="121" customWidth="1"/>
    <col min="12557" max="12557" width="14.83203125" style="121" customWidth="1"/>
    <col min="12558" max="12558" width="13.33203125" style="121" customWidth="1"/>
    <col min="12559" max="12559" width="13.5" style="121" customWidth="1"/>
    <col min="12560" max="12560" width="2.1640625" style="121" customWidth="1"/>
    <col min="12561" max="12561" width="13.83203125" style="121" customWidth="1"/>
    <col min="12562" max="12562" width="10.6640625" style="121" customWidth="1"/>
    <col min="12563" max="12563" width="12" style="121" customWidth="1"/>
    <col min="12564" max="12564" width="11.5" style="121" customWidth="1"/>
    <col min="12565" max="12565" width="16" style="121" customWidth="1"/>
    <col min="12566" max="12567" width="10.6640625" style="121" customWidth="1"/>
    <col min="12568" max="12568" width="15.5" style="121" customWidth="1"/>
    <col min="12569" max="12569" width="11.5" style="121" customWidth="1"/>
    <col min="12570" max="12570" width="12" style="121" customWidth="1"/>
    <col min="12571" max="12571" width="11.5" style="121" customWidth="1"/>
    <col min="12572" max="12572" width="12" style="121" customWidth="1"/>
    <col min="12573" max="12573" width="11.5" style="121" customWidth="1"/>
    <col min="12574" max="12574" width="12.83203125" style="121" customWidth="1"/>
    <col min="12575" max="12575" width="10.6640625" style="121" customWidth="1"/>
    <col min="12576" max="12576" width="19" style="121" customWidth="1"/>
    <col min="12577" max="12577" width="13.33203125" style="121" customWidth="1"/>
    <col min="12578" max="12578" width="18" style="121" customWidth="1"/>
    <col min="12579" max="12579" width="42.5" style="121" customWidth="1"/>
    <col min="12580" max="12580" width="31" style="121" customWidth="1"/>
    <col min="12581" max="12581" width="35" style="121" customWidth="1"/>
    <col min="12582" max="12582" width="31" style="121" customWidth="1"/>
    <col min="12583" max="12583" width="35" style="121" customWidth="1"/>
    <col min="12584" max="12584" width="31" style="121" customWidth="1"/>
    <col min="12585" max="12585" width="37.83203125" style="121" customWidth="1"/>
    <col min="12586" max="12586" width="11.5" style="121" customWidth="1"/>
    <col min="12587" max="12587" width="54" style="121" customWidth="1"/>
    <col min="12588" max="12588" width="43.5" style="121" customWidth="1"/>
    <col min="12589" max="12589" width="44.6640625" style="121" customWidth="1"/>
    <col min="12590" max="12799" width="6.33203125" style="121"/>
    <col min="12800" max="12801" width="2.1640625" style="121" customWidth="1"/>
    <col min="12802" max="12802" width="0" style="121" hidden="1" customWidth="1"/>
    <col min="12803" max="12805" width="12.83203125" style="121" customWidth="1"/>
    <col min="12806" max="12806" width="12" style="121" customWidth="1"/>
    <col min="12807" max="12807" width="12.33203125" style="121" customWidth="1"/>
    <col min="12808" max="12808" width="13.5" style="121" customWidth="1"/>
    <col min="12809" max="12809" width="0" style="121" hidden="1" customWidth="1"/>
    <col min="12810" max="12812" width="13" style="121" customWidth="1"/>
    <col min="12813" max="12813" width="14.83203125" style="121" customWidth="1"/>
    <col min="12814" max="12814" width="13.33203125" style="121" customWidth="1"/>
    <col min="12815" max="12815" width="13.5" style="121" customWidth="1"/>
    <col min="12816" max="12816" width="2.1640625" style="121" customWidth="1"/>
    <col min="12817" max="12817" width="13.83203125" style="121" customWidth="1"/>
    <col min="12818" max="12818" width="10.6640625" style="121" customWidth="1"/>
    <col min="12819" max="12819" width="12" style="121" customWidth="1"/>
    <col min="12820" max="12820" width="11.5" style="121" customWidth="1"/>
    <col min="12821" max="12821" width="16" style="121" customWidth="1"/>
    <col min="12822" max="12823" width="10.6640625" style="121" customWidth="1"/>
    <col min="12824" max="12824" width="15.5" style="121" customWidth="1"/>
    <col min="12825" max="12825" width="11.5" style="121" customWidth="1"/>
    <col min="12826" max="12826" width="12" style="121" customWidth="1"/>
    <col min="12827" max="12827" width="11.5" style="121" customWidth="1"/>
    <col min="12828" max="12828" width="12" style="121" customWidth="1"/>
    <col min="12829" max="12829" width="11.5" style="121" customWidth="1"/>
    <col min="12830" max="12830" width="12.83203125" style="121" customWidth="1"/>
    <col min="12831" max="12831" width="10.6640625" style="121" customWidth="1"/>
    <col min="12832" max="12832" width="19" style="121" customWidth="1"/>
    <col min="12833" max="12833" width="13.33203125" style="121" customWidth="1"/>
    <col min="12834" max="12834" width="18" style="121" customWidth="1"/>
    <col min="12835" max="12835" width="42.5" style="121" customWidth="1"/>
    <col min="12836" max="12836" width="31" style="121" customWidth="1"/>
    <col min="12837" max="12837" width="35" style="121" customWidth="1"/>
    <col min="12838" max="12838" width="31" style="121" customWidth="1"/>
    <col min="12839" max="12839" width="35" style="121" customWidth="1"/>
    <col min="12840" max="12840" width="31" style="121" customWidth="1"/>
    <col min="12841" max="12841" width="37.83203125" style="121" customWidth="1"/>
    <col min="12842" max="12842" width="11.5" style="121" customWidth="1"/>
    <col min="12843" max="12843" width="54" style="121" customWidth="1"/>
    <col min="12844" max="12844" width="43.5" style="121" customWidth="1"/>
    <col min="12845" max="12845" width="44.6640625" style="121" customWidth="1"/>
    <col min="12846" max="13055" width="6.33203125" style="121"/>
    <col min="13056" max="13057" width="2.1640625" style="121" customWidth="1"/>
    <col min="13058" max="13058" width="0" style="121" hidden="1" customWidth="1"/>
    <col min="13059" max="13061" width="12.83203125" style="121" customWidth="1"/>
    <col min="13062" max="13062" width="12" style="121" customWidth="1"/>
    <col min="13063" max="13063" width="12.33203125" style="121" customWidth="1"/>
    <col min="13064" max="13064" width="13.5" style="121" customWidth="1"/>
    <col min="13065" max="13065" width="0" style="121" hidden="1" customWidth="1"/>
    <col min="13066" max="13068" width="13" style="121" customWidth="1"/>
    <col min="13069" max="13069" width="14.83203125" style="121" customWidth="1"/>
    <col min="13070" max="13070" width="13.33203125" style="121" customWidth="1"/>
    <col min="13071" max="13071" width="13.5" style="121" customWidth="1"/>
    <col min="13072" max="13072" width="2.1640625" style="121" customWidth="1"/>
    <col min="13073" max="13073" width="13.83203125" style="121" customWidth="1"/>
    <col min="13074" max="13074" width="10.6640625" style="121" customWidth="1"/>
    <col min="13075" max="13075" width="12" style="121" customWidth="1"/>
    <col min="13076" max="13076" width="11.5" style="121" customWidth="1"/>
    <col min="13077" max="13077" width="16" style="121" customWidth="1"/>
    <col min="13078" max="13079" width="10.6640625" style="121" customWidth="1"/>
    <col min="13080" max="13080" width="15.5" style="121" customWidth="1"/>
    <col min="13081" max="13081" width="11.5" style="121" customWidth="1"/>
    <col min="13082" max="13082" width="12" style="121" customWidth="1"/>
    <col min="13083" max="13083" width="11.5" style="121" customWidth="1"/>
    <col min="13084" max="13084" width="12" style="121" customWidth="1"/>
    <col min="13085" max="13085" width="11.5" style="121" customWidth="1"/>
    <col min="13086" max="13086" width="12.83203125" style="121" customWidth="1"/>
    <col min="13087" max="13087" width="10.6640625" style="121" customWidth="1"/>
    <col min="13088" max="13088" width="19" style="121" customWidth="1"/>
    <col min="13089" max="13089" width="13.33203125" style="121" customWidth="1"/>
    <col min="13090" max="13090" width="18" style="121" customWidth="1"/>
    <col min="13091" max="13091" width="42.5" style="121" customWidth="1"/>
    <col min="13092" max="13092" width="31" style="121" customWidth="1"/>
    <col min="13093" max="13093" width="35" style="121" customWidth="1"/>
    <col min="13094" max="13094" width="31" style="121" customWidth="1"/>
    <col min="13095" max="13095" width="35" style="121" customWidth="1"/>
    <col min="13096" max="13096" width="31" style="121" customWidth="1"/>
    <col min="13097" max="13097" width="37.83203125" style="121" customWidth="1"/>
    <col min="13098" max="13098" width="11.5" style="121" customWidth="1"/>
    <col min="13099" max="13099" width="54" style="121" customWidth="1"/>
    <col min="13100" max="13100" width="43.5" style="121" customWidth="1"/>
    <col min="13101" max="13101" width="44.6640625" style="121" customWidth="1"/>
    <col min="13102" max="13311" width="6.33203125" style="121"/>
    <col min="13312" max="13313" width="2.1640625" style="121" customWidth="1"/>
    <col min="13314" max="13314" width="0" style="121" hidden="1" customWidth="1"/>
    <col min="13315" max="13317" width="12.83203125" style="121" customWidth="1"/>
    <col min="13318" max="13318" width="12" style="121" customWidth="1"/>
    <col min="13319" max="13319" width="12.33203125" style="121" customWidth="1"/>
    <col min="13320" max="13320" width="13.5" style="121" customWidth="1"/>
    <col min="13321" max="13321" width="0" style="121" hidden="1" customWidth="1"/>
    <col min="13322" max="13324" width="13" style="121" customWidth="1"/>
    <col min="13325" max="13325" width="14.83203125" style="121" customWidth="1"/>
    <col min="13326" max="13326" width="13.33203125" style="121" customWidth="1"/>
    <col min="13327" max="13327" width="13.5" style="121" customWidth="1"/>
    <col min="13328" max="13328" width="2.1640625" style="121" customWidth="1"/>
    <col min="13329" max="13329" width="13.83203125" style="121" customWidth="1"/>
    <col min="13330" max="13330" width="10.6640625" style="121" customWidth="1"/>
    <col min="13331" max="13331" width="12" style="121" customWidth="1"/>
    <col min="13332" max="13332" width="11.5" style="121" customWidth="1"/>
    <col min="13333" max="13333" width="16" style="121" customWidth="1"/>
    <col min="13334" max="13335" width="10.6640625" style="121" customWidth="1"/>
    <col min="13336" max="13336" width="15.5" style="121" customWidth="1"/>
    <col min="13337" max="13337" width="11.5" style="121" customWidth="1"/>
    <col min="13338" max="13338" width="12" style="121" customWidth="1"/>
    <col min="13339" max="13339" width="11.5" style="121" customWidth="1"/>
    <col min="13340" max="13340" width="12" style="121" customWidth="1"/>
    <col min="13341" max="13341" width="11.5" style="121" customWidth="1"/>
    <col min="13342" max="13342" width="12.83203125" style="121" customWidth="1"/>
    <col min="13343" max="13343" width="10.6640625" style="121" customWidth="1"/>
    <col min="13344" max="13344" width="19" style="121" customWidth="1"/>
    <col min="13345" max="13345" width="13.33203125" style="121" customWidth="1"/>
    <col min="13346" max="13346" width="18" style="121" customWidth="1"/>
    <col min="13347" max="13347" width="42.5" style="121" customWidth="1"/>
    <col min="13348" max="13348" width="31" style="121" customWidth="1"/>
    <col min="13349" max="13349" width="35" style="121" customWidth="1"/>
    <col min="13350" max="13350" width="31" style="121" customWidth="1"/>
    <col min="13351" max="13351" width="35" style="121" customWidth="1"/>
    <col min="13352" max="13352" width="31" style="121" customWidth="1"/>
    <col min="13353" max="13353" width="37.83203125" style="121" customWidth="1"/>
    <col min="13354" max="13354" width="11.5" style="121" customWidth="1"/>
    <col min="13355" max="13355" width="54" style="121" customWidth="1"/>
    <col min="13356" max="13356" width="43.5" style="121" customWidth="1"/>
    <col min="13357" max="13357" width="44.6640625" style="121" customWidth="1"/>
    <col min="13358" max="13567" width="6.33203125" style="121"/>
    <col min="13568" max="13569" width="2.1640625" style="121" customWidth="1"/>
    <col min="13570" max="13570" width="0" style="121" hidden="1" customWidth="1"/>
    <col min="13571" max="13573" width="12.83203125" style="121" customWidth="1"/>
    <col min="13574" max="13574" width="12" style="121" customWidth="1"/>
    <col min="13575" max="13575" width="12.33203125" style="121" customWidth="1"/>
    <col min="13576" max="13576" width="13.5" style="121" customWidth="1"/>
    <col min="13577" max="13577" width="0" style="121" hidden="1" customWidth="1"/>
    <col min="13578" max="13580" width="13" style="121" customWidth="1"/>
    <col min="13581" max="13581" width="14.83203125" style="121" customWidth="1"/>
    <col min="13582" max="13582" width="13.33203125" style="121" customWidth="1"/>
    <col min="13583" max="13583" width="13.5" style="121" customWidth="1"/>
    <col min="13584" max="13584" width="2.1640625" style="121" customWidth="1"/>
    <col min="13585" max="13585" width="13.83203125" style="121" customWidth="1"/>
    <col min="13586" max="13586" width="10.6640625" style="121" customWidth="1"/>
    <col min="13587" max="13587" width="12" style="121" customWidth="1"/>
    <col min="13588" max="13588" width="11.5" style="121" customWidth="1"/>
    <col min="13589" max="13589" width="16" style="121" customWidth="1"/>
    <col min="13590" max="13591" width="10.6640625" style="121" customWidth="1"/>
    <col min="13592" max="13592" width="15.5" style="121" customWidth="1"/>
    <col min="13593" max="13593" width="11.5" style="121" customWidth="1"/>
    <col min="13594" max="13594" width="12" style="121" customWidth="1"/>
    <col min="13595" max="13595" width="11.5" style="121" customWidth="1"/>
    <col min="13596" max="13596" width="12" style="121" customWidth="1"/>
    <col min="13597" max="13597" width="11.5" style="121" customWidth="1"/>
    <col min="13598" max="13598" width="12.83203125" style="121" customWidth="1"/>
    <col min="13599" max="13599" width="10.6640625" style="121" customWidth="1"/>
    <col min="13600" max="13600" width="19" style="121" customWidth="1"/>
    <col min="13601" max="13601" width="13.33203125" style="121" customWidth="1"/>
    <col min="13602" max="13602" width="18" style="121" customWidth="1"/>
    <col min="13603" max="13603" width="42.5" style="121" customWidth="1"/>
    <col min="13604" max="13604" width="31" style="121" customWidth="1"/>
    <col min="13605" max="13605" width="35" style="121" customWidth="1"/>
    <col min="13606" max="13606" width="31" style="121" customWidth="1"/>
    <col min="13607" max="13607" width="35" style="121" customWidth="1"/>
    <col min="13608" max="13608" width="31" style="121" customWidth="1"/>
    <col min="13609" max="13609" width="37.83203125" style="121" customWidth="1"/>
    <col min="13610" max="13610" width="11.5" style="121" customWidth="1"/>
    <col min="13611" max="13611" width="54" style="121" customWidth="1"/>
    <col min="13612" max="13612" width="43.5" style="121" customWidth="1"/>
    <col min="13613" max="13613" width="44.6640625" style="121" customWidth="1"/>
    <col min="13614" max="13823" width="6.33203125" style="121"/>
    <col min="13824" max="13825" width="2.1640625" style="121" customWidth="1"/>
    <col min="13826" max="13826" width="0" style="121" hidden="1" customWidth="1"/>
    <col min="13827" max="13829" width="12.83203125" style="121" customWidth="1"/>
    <col min="13830" max="13830" width="12" style="121" customWidth="1"/>
    <col min="13831" max="13831" width="12.33203125" style="121" customWidth="1"/>
    <col min="13832" max="13832" width="13.5" style="121" customWidth="1"/>
    <col min="13833" max="13833" width="0" style="121" hidden="1" customWidth="1"/>
    <col min="13834" max="13836" width="13" style="121" customWidth="1"/>
    <col min="13837" max="13837" width="14.83203125" style="121" customWidth="1"/>
    <col min="13838" max="13838" width="13.33203125" style="121" customWidth="1"/>
    <col min="13839" max="13839" width="13.5" style="121" customWidth="1"/>
    <col min="13840" max="13840" width="2.1640625" style="121" customWidth="1"/>
    <col min="13841" max="13841" width="13.83203125" style="121" customWidth="1"/>
    <col min="13842" max="13842" width="10.6640625" style="121" customWidth="1"/>
    <col min="13843" max="13843" width="12" style="121" customWidth="1"/>
    <col min="13844" max="13844" width="11.5" style="121" customWidth="1"/>
    <col min="13845" max="13845" width="16" style="121" customWidth="1"/>
    <col min="13846" max="13847" width="10.6640625" style="121" customWidth="1"/>
    <col min="13848" max="13848" width="15.5" style="121" customWidth="1"/>
    <col min="13849" max="13849" width="11.5" style="121" customWidth="1"/>
    <col min="13850" max="13850" width="12" style="121" customWidth="1"/>
    <col min="13851" max="13851" width="11.5" style="121" customWidth="1"/>
    <col min="13852" max="13852" width="12" style="121" customWidth="1"/>
    <col min="13853" max="13853" width="11.5" style="121" customWidth="1"/>
    <col min="13854" max="13854" width="12.83203125" style="121" customWidth="1"/>
    <col min="13855" max="13855" width="10.6640625" style="121" customWidth="1"/>
    <col min="13856" max="13856" width="19" style="121" customWidth="1"/>
    <col min="13857" max="13857" width="13.33203125" style="121" customWidth="1"/>
    <col min="13858" max="13858" width="18" style="121" customWidth="1"/>
    <col min="13859" max="13859" width="42.5" style="121" customWidth="1"/>
    <col min="13860" max="13860" width="31" style="121" customWidth="1"/>
    <col min="13861" max="13861" width="35" style="121" customWidth="1"/>
    <col min="13862" max="13862" width="31" style="121" customWidth="1"/>
    <col min="13863" max="13863" width="35" style="121" customWidth="1"/>
    <col min="13864" max="13864" width="31" style="121" customWidth="1"/>
    <col min="13865" max="13865" width="37.83203125" style="121" customWidth="1"/>
    <col min="13866" max="13866" width="11.5" style="121" customWidth="1"/>
    <col min="13867" max="13867" width="54" style="121" customWidth="1"/>
    <col min="13868" max="13868" width="43.5" style="121" customWidth="1"/>
    <col min="13869" max="13869" width="44.6640625" style="121" customWidth="1"/>
    <col min="13870" max="14079" width="6.33203125" style="121"/>
    <col min="14080" max="14081" width="2.1640625" style="121" customWidth="1"/>
    <col min="14082" max="14082" width="0" style="121" hidden="1" customWidth="1"/>
    <col min="14083" max="14085" width="12.83203125" style="121" customWidth="1"/>
    <col min="14086" max="14086" width="12" style="121" customWidth="1"/>
    <col min="14087" max="14087" width="12.33203125" style="121" customWidth="1"/>
    <col min="14088" max="14088" width="13.5" style="121" customWidth="1"/>
    <col min="14089" max="14089" width="0" style="121" hidden="1" customWidth="1"/>
    <col min="14090" max="14092" width="13" style="121" customWidth="1"/>
    <col min="14093" max="14093" width="14.83203125" style="121" customWidth="1"/>
    <col min="14094" max="14094" width="13.33203125" style="121" customWidth="1"/>
    <col min="14095" max="14095" width="13.5" style="121" customWidth="1"/>
    <col min="14096" max="14096" width="2.1640625" style="121" customWidth="1"/>
    <col min="14097" max="14097" width="13.83203125" style="121" customWidth="1"/>
    <col min="14098" max="14098" width="10.6640625" style="121" customWidth="1"/>
    <col min="14099" max="14099" width="12" style="121" customWidth="1"/>
    <col min="14100" max="14100" width="11.5" style="121" customWidth="1"/>
    <col min="14101" max="14101" width="16" style="121" customWidth="1"/>
    <col min="14102" max="14103" width="10.6640625" style="121" customWidth="1"/>
    <col min="14104" max="14104" width="15.5" style="121" customWidth="1"/>
    <col min="14105" max="14105" width="11.5" style="121" customWidth="1"/>
    <col min="14106" max="14106" width="12" style="121" customWidth="1"/>
    <col min="14107" max="14107" width="11.5" style="121" customWidth="1"/>
    <col min="14108" max="14108" width="12" style="121" customWidth="1"/>
    <col min="14109" max="14109" width="11.5" style="121" customWidth="1"/>
    <col min="14110" max="14110" width="12.83203125" style="121" customWidth="1"/>
    <col min="14111" max="14111" width="10.6640625" style="121" customWidth="1"/>
    <col min="14112" max="14112" width="19" style="121" customWidth="1"/>
    <col min="14113" max="14113" width="13.33203125" style="121" customWidth="1"/>
    <col min="14114" max="14114" width="18" style="121" customWidth="1"/>
    <col min="14115" max="14115" width="42.5" style="121" customWidth="1"/>
    <col min="14116" max="14116" width="31" style="121" customWidth="1"/>
    <col min="14117" max="14117" width="35" style="121" customWidth="1"/>
    <col min="14118" max="14118" width="31" style="121" customWidth="1"/>
    <col min="14119" max="14119" width="35" style="121" customWidth="1"/>
    <col min="14120" max="14120" width="31" style="121" customWidth="1"/>
    <col min="14121" max="14121" width="37.83203125" style="121" customWidth="1"/>
    <col min="14122" max="14122" width="11.5" style="121" customWidth="1"/>
    <col min="14123" max="14123" width="54" style="121" customWidth="1"/>
    <col min="14124" max="14124" width="43.5" style="121" customWidth="1"/>
    <col min="14125" max="14125" width="44.6640625" style="121" customWidth="1"/>
    <col min="14126" max="14335" width="6.33203125" style="121"/>
    <col min="14336" max="14337" width="2.1640625" style="121" customWidth="1"/>
    <col min="14338" max="14338" width="0" style="121" hidden="1" customWidth="1"/>
    <col min="14339" max="14341" width="12.83203125" style="121" customWidth="1"/>
    <col min="14342" max="14342" width="12" style="121" customWidth="1"/>
    <col min="14343" max="14343" width="12.33203125" style="121" customWidth="1"/>
    <col min="14344" max="14344" width="13.5" style="121" customWidth="1"/>
    <col min="14345" max="14345" width="0" style="121" hidden="1" customWidth="1"/>
    <col min="14346" max="14348" width="13" style="121" customWidth="1"/>
    <col min="14349" max="14349" width="14.83203125" style="121" customWidth="1"/>
    <col min="14350" max="14350" width="13.33203125" style="121" customWidth="1"/>
    <col min="14351" max="14351" width="13.5" style="121" customWidth="1"/>
    <col min="14352" max="14352" width="2.1640625" style="121" customWidth="1"/>
    <col min="14353" max="14353" width="13.83203125" style="121" customWidth="1"/>
    <col min="14354" max="14354" width="10.6640625" style="121" customWidth="1"/>
    <col min="14355" max="14355" width="12" style="121" customWidth="1"/>
    <col min="14356" max="14356" width="11.5" style="121" customWidth="1"/>
    <col min="14357" max="14357" width="16" style="121" customWidth="1"/>
    <col min="14358" max="14359" width="10.6640625" style="121" customWidth="1"/>
    <col min="14360" max="14360" width="15.5" style="121" customWidth="1"/>
    <col min="14361" max="14361" width="11.5" style="121" customWidth="1"/>
    <col min="14362" max="14362" width="12" style="121" customWidth="1"/>
    <col min="14363" max="14363" width="11.5" style="121" customWidth="1"/>
    <col min="14364" max="14364" width="12" style="121" customWidth="1"/>
    <col min="14365" max="14365" width="11.5" style="121" customWidth="1"/>
    <col min="14366" max="14366" width="12.83203125" style="121" customWidth="1"/>
    <col min="14367" max="14367" width="10.6640625" style="121" customWidth="1"/>
    <col min="14368" max="14368" width="19" style="121" customWidth="1"/>
    <col min="14369" max="14369" width="13.33203125" style="121" customWidth="1"/>
    <col min="14370" max="14370" width="18" style="121" customWidth="1"/>
    <col min="14371" max="14371" width="42.5" style="121" customWidth="1"/>
    <col min="14372" max="14372" width="31" style="121" customWidth="1"/>
    <col min="14373" max="14373" width="35" style="121" customWidth="1"/>
    <col min="14374" max="14374" width="31" style="121" customWidth="1"/>
    <col min="14375" max="14375" width="35" style="121" customWidth="1"/>
    <col min="14376" max="14376" width="31" style="121" customWidth="1"/>
    <col min="14377" max="14377" width="37.83203125" style="121" customWidth="1"/>
    <col min="14378" max="14378" width="11.5" style="121" customWidth="1"/>
    <col min="14379" max="14379" width="54" style="121" customWidth="1"/>
    <col min="14380" max="14380" width="43.5" style="121" customWidth="1"/>
    <col min="14381" max="14381" width="44.6640625" style="121" customWidth="1"/>
    <col min="14382" max="14591" width="6.33203125" style="121"/>
    <col min="14592" max="14593" width="2.1640625" style="121" customWidth="1"/>
    <col min="14594" max="14594" width="0" style="121" hidden="1" customWidth="1"/>
    <col min="14595" max="14597" width="12.83203125" style="121" customWidth="1"/>
    <col min="14598" max="14598" width="12" style="121" customWidth="1"/>
    <col min="14599" max="14599" width="12.33203125" style="121" customWidth="1"/>
    <col min="14600" max="14600" width="13.5" style="121" customWidth="1"/>
    <col min="14601" max="14601" width="0" style="121" hidden="1" customWidth="1"/>
    <col min="14602" max="14604" width="13" style="121" customWidth="1"/>
    <col min="14605" max="14605" width="14.83203125" style="121" customWidth="1"/>
    <col min="14606" max="14606" width="13.33203125" style="121" customWidth="1"/>
    <col min="14607" max="14607" width="13.5" style="121" customWidth="1"/>
    <col min="14608" max="14608" width="2.1640625" style="121" customWidth="1"/>
    <col min="14609" max="14609" width="13.83203125" style="121" customWidth="1"/>
    <col min="14610" max="14610" width="10.6640625" style="121" customWidth="1"/>
    <col min="14611" max="14611" width="12" style="121" customWidth="1"/>
    <col min="14612" max="14612" width="11.5" style="121" customWidth="1"/>
    <col min="14613" max="14613" width="16" style="121" customWidth="1"/>
    <col min="14614" max="14615" width="10.6640625" style="121" customWidth="1"/>
    <col min="14616" max="14616" width="15.5" style="121" customWidth="1"/>
    <col min="14617" max="14617" width="11.5" style="121" customWidth="1"/>
    <col min="14618" max="14618" width="12" style="121" customWidth="1"/>
    <col min="14619" max="14619" width="11.5" style="121" customWidth="1"/>
    <col min="14620" max="14620" width="12" style="121" customWidth="1"/>
    <col min="14621" max="14621" width="11.5" style="121" customWidth="1"/>
    <col min="14622" max="14622" width="12.83203125" style="121" customWidth="1"/>
    <col min="14623" max="14623" width="10.6640625" style="121" customWidth="1"/>
    <col min="14624" max="14624" width="19" style="121" customWidth="1"/>
    <col min="14625" max="14625" width="13.33203125" style="121" customWidth="1"/>
    <col min="14626" max="14626" width="18" style="121" customWidth="1"/>
    <col min="14627" max="14627" width="42.5" style="121" customWidth="1"/>
    <col min="14628" max="14628" width="31" style="121" customWidth="1"/>
    <col min="14629" max="14629" width="35" style="121" customWidth="1"/>
    <col min="14630" max="14630" width="31" style="121" customWidth="1"/>
    <col min="14631" max="14631" width="35" style="121" customWidth="1"/>
    <col min="14632" max="14632" width="31" style="121" customWidth="1"/>
    <col min="14633" max="14633" width="37.83203125" style="121" customWidth="1"/>
    <col min="14634" max="14634" width="11.5" style="121" customWidth="1"/>
    <col min="14635" max="14635" width="54" style="121" customWidth="1"/>
    <col min="14636" max="14636" width="43.5" style="121" customWidth="1"/>
    <col min="14637" max="14637" width="44.6640625" style="121" customWidth="1"/>
    <col min="14638" max="14847" width="6.33203125" style="121"/>
    <col min="14848" max="14849" width="2.1640625" style="121" customWidth="1"/>
    <col min="14850" max="14850" width="0" style="121" hidden="1" customWidth="1"/>
    <col min="14851" max="14853" width="12.83203125" style="121" customWidth="1"/>
    <col min="14854" max="14854" width="12" style="121" customWidth="1"/>
    <col min="14855" max="14855" width="12.33203125" style="121" customWidth="1"/>
    <col min="14856" max="14856" width="13.5" style="121" customWidth="1"/>
    <col min="14857" max="14857" width="0" style="121" hidden="1" customWidth="1"/>
    <col min="14858" max="14860" width="13" style="121" customWidth="1"/>
    <col min="14861" max="14861" width="14.83203125" style="121" customWidth="1"/>
    <col min="14862" max="14862" width="13.33203125" style="121" customWidth="1"/>
    <col min="14863" max="14863" width="13.5" style="121" customWidth="1"/>
    <col min="14864" max="14864" width="2.1640625" style="121" customWidth="1"/>
    <col min="14865" max="14865" width="13.83203125" style="121" customWidth="1"/>
    <col min="14866" max="14866" width="10.6640625" style="121" customWidth="1"/>
    <col min="14867" max="14867" width="12" style="121" customWidth="1"/>
    <col min="14868" max="14868" width="11.5" style="121" customWidth="1"/>
    <col min="14869" max="14869" width="16" style="121" customWidth="1"/>
    <col min="14870" max="14871" width="10.6640625" style="121" customWidth="1"/>
    <col min="14872" max="14872" width="15.5" style="121" customWidth="1"/>
    <col min="14873" max="14873" width="11.5" style="121" customWidth="1"/>
    <col min="14874" max="14874" width="12" style="121" customWidth="1"/>
    <col min="14875" max="14875" width="11.5" style="121" customWidth="1"/>
    <col min="14876" max="14876" width="12" style="121" customWidth="1"/>
    <col min="14877" max="14877" width="11.5" style="121" customWidth="1"/>
    <col min="14878" max="14878" width="12.83203125" style="121" customWidth="1"/>
    <col min="14879" max="14879" width="10.6640625" style="121" customWidth="1"/>
    <col min="14880" max="14880" width="19" style="121" customWidth="1"/>
    <col min="14881" max="14881" width="13.33203125" style="121" customWidth="1"/>
    <col min="14882" max="14882" width="18" style="121" customWidth="1"/>
    <col min="14883" max="14883" width="42.5" style="121" customWidth="1"/>
    <col min="14884" max="14884" width="31" style="121" customWidth="1"/>
    <col min="14885" max="14885" width="35" style="121" customWidth="1"/>
    <col min="14886" max="14886" width="31" style="121" customWidth="1"/>
    <col min="14887" max="14887" width="35" style="121" customWidth="1"/>
    <col min="14888" max="14888" width="31" style="121" customWidth="1"/>
    <col min="14889" max="14889" width="37.83203125" style="121" customWidth="1"/>
    <col min="14890" max="14890" width="11.5" style="121" customWidth="1"/>
    <col min="14891" max="14891" width="54" style="121" customWidth="1"/>
    <col min="14892" max="14892" width="43.5" style="121" customWidth="1"/>
    <col min="14893" max="14893" width="44.6640625" style="121" customWidth="1"/>
    <col min="14894" max="15103" width="6.33203125" style="121"/>
    <col min="15104" max="15105" width="2.1640625" style="121" customWidth="1"/>
    <col min="15106" max="15106" width="0" style="121" hidden="1" customWidth="1"/>
    <col min="15107" max="15109" width="12.83203125" style="121" customWidth="1"/>
    <col min="15110" max="15110" width="12" style="121" customWidth="1"/>
    <col min="15111" max="15111" width="12.33203125" style="121" customWidth="1"/>
    <col min="15112" max="15112" width="13.5" style="121" customWidth="1"/>
    <col min="15113" max="15113" width="0" style="121" hidden="1" customWidth="1"/>
    <col min="15114" max="15116" width="13" style="121" customWidth="1"/>
    <col min="15117" max="15117" width="14.83203125" style="121" customWidth="1"/>
    <col min="15118" max="15118" width="13.33203125" style="121" customWidth="1"/>
    <col min="15119" max="15119" width="13.5" style="121" customWidth="1"/>
    <col min="15120" max="15120" width="2.1640625" style="121" customWidth="1"/>
    <col min="15121" max="15121" width="13.83203125" style="121" customWidth="1"/>
    <col min="15122" max="15122" width="10.6640625" style="121" customWidth="1"/>
    <col min="15123" max="15123" width="12" style="121" customWidth="1"/>
    <col min="15124" max="15124" width="11.5" style="121" customWidth="1"/>
    <col min="15125" max="15125" width="16" style="121" customWidth="1"/>
    <col min="15126" max="15127" width="10.6640625" style="121" customWidth="1"/>
    <col min="15128" max="15128" width="15.5" style="121" customWidth="1"/>
    <col min="15129" max="15129" width="11.5" style="121" customWidth="1"/>
    <col min="15130" max="15130" width="12" style="121" customWidth="1"/>
    <col min="15131" max="15131" width="11.5" style="121" customWidth="1"/>
    <col min="15132" max="15132" width="12" style="121" customWidth="1"/>
    <col min="15133" max="15133" width="11.5" style="121" customWidth="1"/>
    <col min="15134" max="15134" width="12.83203125" style="121" customWidth="1"/>
    <col min="15135" max="15135" width="10.6640625" style="121" customWidth="1"/>
    <col min="15136" max="15136" width="19" style="121" customWidth="1"/>
    <col min="15137" max="15137" width="13.33203125" style="121" customWidth="1"/>
    <col min="15138" max="15138" width="18" style="121" customWidth="1"/>
    <col min="15139" max="15139" width="42.5" style="121" customWidth="1"/>
    <col min="15140" max="15140" width="31" style="121" customWidth="1"/>
    <col min="15141" max="15141" width="35" style="121" customWidth="1"/>
    <col min="15142" max="15142" width="31" style="121" customWidth="1"/>
    <col min="15143" max="15143" width="35" style="121" customWidth="1"/>
    <col min="15144" max="15144" width="31" style="121" customWidth="1"/>
    <col min="15145" max="15145" width="37.83203125" style="121" customWidth="1"/>
    <col min="15146" max="15146" width="11.5" style="121" customWidth="1"/>
    <col min="15147" max="15147" width="54" style="121" customWidth="1"/>
    <col min="15148" max="15148" width="43.5" style="121" customWidth="1"/>
    <col min="15149" max="15149" width="44.6640625" style="121" customWidth="1"/>
    <col min="15150" max="15359" width="6.33203125" style="121"/>
    <col min="15360" max="15361" width="2.1640625" style="121" customWidth="1"/>
    <col min="15362" max="15362" width="0" style="121" hidden="1" customWidth="1"/>
    <col min="15363" max="15365" width="12.83203125" style="121" customWidth="1"/>
    <col min="15366" max="15366" width="12" style="121" customWidth="1"/>
    <col min="15367" max="15367" width="12.33203125" style="121" customWidth="1"/>
    <col min="15368" max="15368" width="13.5" style="121" customWidth="1"/>
    <col min="15369" max="15369" width="0" style="121" hidden="1" customWidth="1"/>
    <col min="15370" max="15372" width="13" style="121" customWidth="1"/>
    <col min="15373" max="15373" width="14.83203125" style="121" customWidth="1"/>
    <col min="15374" max="15374" width="13.33203125" style="121" customWidth="1"/>
    <col min="15375" max="15375" width="13.5" style="121" customWidth="1"/>
    <col min="15376" max="15376" width="2.1640625" style="121" customWidth="1"/>
    <col min="15377" max="15377" width="13.83203125" style="121" customWidth="1"/>
    <col min="15378" max="15378" width="10.6640625" style="121" customWidth="1"/>
    <col min="15379" max="15379" width="12" style="121" customWidth="1"/>
    <col min="15380" max="15380" width="11.5" style="121" customWidth="1"/>
    <col min="15381" max="15381" width="16" style="121" customWidth="1"/>
    <col min="15382" max="15383" width="10.6640625" style="121" customWidth="1"/>
    <col min="15384" max="15384" width="15.5" style="121" customWidth="1"/>
    <col min="15385" max="15385" width="11.5" style="121" customWidth="1"/>
    <col min="15386" max="15386" width="12" style="121" customWidth="1"/>
    <col min="15387" max="15387" width="11.5" style="121" customWidth="1"/>
    <col min="15388" max="15388" width="12" style="121" customWidth="1"/>
    <col min="15389" max="15389" width="11.5" style="121" customWidth="1"/>
    <col min="15390" max="15390" width="12.83203125" style="121" customWidth="1"/>
    <col min="15391" max="15391" width="10.6640625" style="121" customWidth="1"/>
    <col min="15392" max="15392" width="19" style="121" customWidth="1"/>
    <col min="15393" max="15393" width="13.33203125" style="121" customWidth="1"/>
    <col min="15394" max="15394" width="18" style="121" customWidth="1"/>
    <col min="15395" max="15395" width="42.5" style="121" customWidth="1"/>
    <col min="15396" max="15396" width="31" style="121" customWidth="1"/>
    <col min="15397" max="15397" width="35" style="121" customWidth="1"/>
    <col min="15398" max="15398" width="31" style="121" customWidth="1"/>
    <col min="15399" max="15399" width="35" style="121" customWidth="1"/>
    <col min="15400" max="15400" width="31" style="121" customWidth="1"/>
    <col min="15401" max="15401" width="37.83203125" style="121" customWidth="1"/>
    <col min="15402" max="15402" width="11.5" style="121" customWidth="1"/>
    <col min="15403" max="15403" width="54" style="121" customWidth="1"/>
    <col min="15404" max="15404" width="43.5" style="121" customWidth="1"/>
    <col min="15405" max="15405" width="44.6640625" style="121" customWidth="1"/>
    <col min="15406" max="15615" width="6.33203125" style="121"/>
    <col min="15616" max="15617" width="2.1640625" style="121" customWidth="1"/>
    <col min="15618" max="15618" width="0" style="121" hidden="1" customWidth="1"/>
    <col min="15619" max="15621" width="12.83203125" style="121" customWidth="1"/>
    <col min="15622" max="15622" width="12" style="121" customWidth="1"/>
    <col min="15623" max="15623" width="12.33203125" style="121" customWidth="1"/>
    <col min="15624" max="15624" width="13.5" style="121" customWidth="1"/>
    <col min="15625" max="15625" width="0" style="121" hidden="1" customWidth="1"/>
    <col min="15626" max="15628" width="13" style="121" customWidth="1"/>
    <col min="15629" max="15629" width="14.83203125" style="121" customWidth="1"/>
    <col min="15630" max="15630" width="13.33203125" style="121" customWidth="1"/>
    <col min="15631" max="15631" width="13.5" style="121" customWidth="1"/>
    <col min="15632" max="15632" width="2.1640625" style="121" customWidth="1"/>
    <col min="15633" max="15633" width="13.83203125" style="121" customWidth="1"/>
    <col min="15634" max="15634" width="10.6640625" style="121" customWidth="1"/>
    <col min="15635" max="15635" width="12" style="121" customWidth="1"/>
    <col min="15636" max="15636" width="11.5" style="121" customWidth="1"/>
    <col min="15637" max="15637" width="16" style="121" customWidth="1"/>
    <col min="15638" max="15639" width="10.6640625" style="121" customWidth="1"/>
    <col min="15640" max="15640" width="15.5" style="121" customWidth="1"/>
    <col min="15641" max="15641" width="11.5" style="121" customWidth="1"/>
    <col min="15642" max="15642" width="12" style="121" customWidth="1"/>
    <col min="15643" max="15643" width="11.5" style="121" customWidth="1"/>
    <col min="15644" max="15644" width="12" style="121" customWidth="1"/>
    <col min="15645" max="15645" width="11.5" style="121" customWidth="1"/>
    <col min="15646" max="15646" width="12.83203125" style="121" customWidth="1"/>
    <col min="15647" max="15647" width="10.6640625" style="121" customWidth="1"/>
    <col min="15648" max="15648" width="19" style="121" customWidth="1"/>
    <col min="15649" max="15649" width="13.33203125" style="121" customWidth="1"/>
    <col min="15650" max="15650" width="18" style="121" customWidth="1"/>
    <col min="15651" max="15651" width="42.5" style="121" customWidth="1"/>
    <col min="15652" max="15652" width="31" style="121" customWidth="1"/>
    <col min="15653" max="15653" width="35" style="121" customWidth="1"/>
    <col min="15654" max="15654" width="31" style="121" customWidth="1"/>
    <col min="15655" max="15655" width="35" style="121" customWidth="1"/>
    <col min="15656" max="15656" width="31" style="121" customWidth="1"/>
    <col min="15657" max="15657" width="37.83203125" style="121" customWidth="1"/>
    <col min="15658" max="15658" width="11.5" style="121" customWidth="1"/>
    <col min="15659" max="15659" width="54" style="121" customWidth="1"/>
    <col min="15660" max="15660" width="43.5" style="121" customWidth="1"/>
    <col min="15661" max="15661" width="44.6640625" style="121" customWidth="1"/>
    <col min="15662" max="15871" width="6.33203125" style="121"/>
    <col min="15872" max="15873" width="2.1640625" style="121" customWidth="1"/>
    <col min="15874" max="15874" width="0" style="121" hidden="1" customWidth="1"/>
    <col min="15875" max="15877" width="12.83203125" style="121" customWidth="1"/>
    <col min="15878" max="15878" width="12" style="121" customWidth="1"/>
    <col min="15879" max="15879" width="12.33203125" style="121" customWidth="1"/>
    <col min="15880" max="15880" width="13.5" style="121" customWidth="1"/>
    <col min="15881" max="15881" width="0" style="121" hidden="1" customWidth="1"/>
    <col min="15882" max="15884" width="13" style="121" customWidth="1"/>
    <col min="15885" max="15885" width="14.83203125" style="121" customWidth="1"/>
    <col min="15886" max="15886" width="13.33203125" style="121" customWidth="1"/>
    <col min="15887" max="15887" width="13.5" style="121" customWidth="1"/>
    <col min="15888" max="15888" width="2.1640625" style="121" customWidth="1"/>
    <col min="15889" max="15889" width="13.83203125" style="121" customWidth="1"/>
    <col min="15890" max="15890" width="10.6640625" style="121" customWidth="1"/>
    <col min="15891" max="15891" width="12" style="121" customWidth="1"/>
    <col min="15892" max="15892" width="11.5" style="121" customWidth="1"/>
    <col min="15893" max="15893" width="16" style="121" customWidth="1"/>
    <col min="15894" max="15895" width="10.6640625" style="121" customWidth="1"/>
    <col min="15896" max="15896" width="15.5" style="121" customWidth="1"/>
    <col min="15897" max="15897" width="11.5" style="121" customWidth="1"/>
    <col min="15898" max="15898" width="12" style="121" customWidth="1"/>
    <col min="15899" max="15899" width="11.5" style="121" customWidth="1"/>
    <col min="15900" max="15900" width="12" style="121" customWidth="1"/>
    <col min="15901" max="15901" width="11.5" style="121" customWidth="1"/>
    <col min="15902" max="15902" width="12.83203125" style="121" customWidth="1"/>
    <col min="15903" max="15903" width="10.6640625" style="121" customWidth="1"/>
    <col min="15904" max="15904" width="19" style="121" customWidth="1"/>
    <col min="15905" max="15905" width="13.33203125" style="121" customWidth="1"/>
    <col min="15906" max="15906" width="18" style="121" customWidth="1"/>
    <col min="15907" max="15907" width="42.5" style="121" customWidth="1"/>
    <col min="15908" max="15908" width="31" style="121" customWidth="1"/>
    <col min="15909" max="15909" width="35" style="121" customWidth="1"/>
    <col min="15910" max="15910" width="31" style="121" customWidth="1"/>
    <col min="15911" max="15911" width="35" style="121" customWidth="1"/>
    <col min="15912" max="15912" width="31" style="121" customWidth="1"/>
    <col min="15913" max="15913" width="37.83203125" style="121" customWidth="1"/>
    <col min="15914" max="15914" width="11.5" style="121" customWidth="1"/>
    <col min="15915" max="15915" width="54" style="121" customWidth="1"/>
    <col min="15916" max="15916" width="43.5" style="121" customWidth="1"/>
    <col min="15917" max="15917" width="44.6640625" style="121" customWidth="1"/>
    <col min="15918" max="16127" width="6.33203125" style="121"/>
    <col min="16128" max="16129" width="2.1640625" style="121" customWidth="1"/>
    <col min="16130" max="16130" width="0" style="121" hidden="1" customWidth="1"/>
    <col min="16131" max="16133" width="12.83203125" style="121" customWidth="1"/>
    <col min="16134" max="16134" width="12" style="121" customWidth="1"/>
    <col min="16135" max="16135" width="12.33203125" style="121" customWidth="1"/>
    <col min="16136" max="16136" width="13.5" style="121" customWidth="1"/>
    <col min="16137" max="16137" width="0" style="121" hidden="1" customWidth="1"/>
    <col min="16138" max="16140" width="13" style="121" customWidth="1"/>
    <col min="16141" max="16141" width="14.83203125" style="121" customWidth="1"/>
    <col min="16142" max="16142" width="13.33203125" style="121" customWidth="1"/>
    <col min="16143" max="16143" width="13.5" style="121" customWidth="1"/>
    <col min="16144" max="16144" width="2.1640625" style="121" customWidth="1"/>
    <col min="16145" max="16145" width="13.83203125" style="121" customWidth="1"/>
    <col min="16146" max="16146" width="10.6640625" style="121" customWidth="1"/>
    <col min="16147" max="16147" width="12" style="121" customWidth="1"/>
    <col min="16148" max="16148" width="11.5" style="121" customWidth="1"/>
    <col min="16149" max="16149" width="16" style="121" customWidth="1"/>
    <col min="16150" max="16151" width="10.6640625" style="121" customWidth="1"/>
    <col min="16152" max="16152" width="15.5" style="121" customWidth="1"/>
    <col min="16153" max="16153" width="11.5" style="121" customWidth="1"/>
    <col min="16154" max="16154" width="12" style="121" customWidth="1"/>
    <col min="16155" max="16155" width="11.5" style="121" customWidth="1"/>
    <col min="16156" max="16156" width="12" style="121" customWidth="1"/>
    <col min="16157" max="16157" width="11.5" style="121" customWidth="1"/>
    <col min="16158" max="16158" width="12.83203125" style="121" customWidth="1"/>
    <col min="16159" max="16159" width="10.6640625" style="121" customWidth="1"/>
    <col min="16160" max="16160" width="19" style="121" customWidth="1"/>
    <col min="16161" max="16161" width="13.33203125" style="121" customWidth="1"/>
    <col min="16162" max="16162" width="18" style="121" customWidth="1"/>
    <col min="16163" max="16163" width="42.5" style="121" customWidth="1"/>
    <col min="16164" max="16164" width="31" style="121" customWidth="1"/>
    <col min="16165" max="16165" width="35" style="121" customWidth="1"/>
    <col min="16166" max="16166" width="31" style="121" customWidth="1"/>
    <col min="16167" max="16167" width="35" style="121" customWidth="1"/>
    <col min="16168" max="16168" width="31" style="121" customWidth="1"/>
    <col min="16169" max="16169" width="37.83203125" style="121" customWidth="1"/>
    <col min="16170" max="16170" width="11.5" style="121" customWidth="1"/>
    <col min="16171" max="16171" width="54" style="121" customWidth="1"/>
    <col min="16172" max="16172" width="43.5" style="121" customWidth="1"/>
    <col min="16173" max="16173" width="44.6640625" style="121" customWidth="1"/>
    <col min="16174" max="16384" width="6.33203125" style="121"/>
  </cols>
  <sheetData>
    <row r="1" spans="2:18" ht="15" customHeight="1" thickBot="1">
      <c r="B1" s="278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6"/>
      <c r="O1" s="276"/>
      <c r="P1" s="275"/>
    </row>
    <row r="2" spans="2:18" ht="15" customHeight="1">
      <c r="B2" s="274"/>
      <c r="C2" s="271"/>
      <c r="D2" s="351"/>
      <c r="E2" s="352"/>
      <c r="F2" s="357" t="s">
        <v>211</v>
      </c>
      <c r="G2" s="357"/>
      <c r="H2" s="357"/>
      <c r="I2" s="357"/>
      <c r="J2" s="357"/>
      <c r="K2" s="357"/>
      <c r="L2" s="357"/>
      <c r="M2" s="357"/>
      <c r="N2" s="357"/>
      <c r="O2" s="358"/>
      <c r="P2" s="189"/>
    </row>
    <row r="3" spans="2:18" ht="15" customHeight="1">
      <c r="B3" s="274"/>
      <c r="C3" s="271"/>
      <c r="D3" s="353"/>
      <c r="E3" s="354"/>
      <c r="F3" s="359"/>
      <c r="G3" s="359"/>
      <c r="H3" s="359"/>
      <c r="I3" s="359"/>
      <c r="J3" s="359"/>
      <c r="K3" s="359"/>
      <c r="L3" s="359"/>
      <c r="M3" s="359"/>
      <c r="N3" s="359"/>
      <c r="O3" s="360"/>
      <c r="P3" s="189"/>
    </row>
    <row r="4" spans="2:18" ht="15" customHeight="1">
      <c r="B4" s="274"/>
      <c r="C4" s="271"/>
      <c r="D4" s="353"/>
      <c r="E4" s="354"/>
      <c r="F4" s="359" t="s">
        <v>210</v>
      </c>
      <c r="G4" s="359"/>
      <c r="H4" s="359"/>
      <c r="I4" s="359"/>
      <c r="J4" s="359"/>
      <c r="K4" s="359"/>
      <c r="L4" s="359" t="s">
        <v>209</v>
      </c>
      <c r="M4" s="359"/>
      <c r="N4" s="362">
        <v>44865</v>
      </c>
      <c r="O4" s="363"/>
      <c r="P4" s="189"/>
    </row>
    <row r="5" spans="2:18" ht="15" customHeight="1" thickBot="1">
      <c r="B5" s="274"/>
      <c r="C5" s="271"/>
      <c r="D5" s="355"/>
      <c r="E5" s="356"/>
      <c r="F5" s="361"/>
      <c r="G5" s="361"/>
      <c r="H5" s="361"/>
      <c r="I5" s="361"/>
      <c r="J5" s="361"/>
      <c r="K5" s="361"/>
      <c r="L5" s="361"/>
      <c r="M5" s="361"/>
      <c r="N5" s="364"/>
      <c r="O5" s="365"/>
      <c r="P5" s="189"/>
    </row>
    <row r="6" spans="2:18" ht="14.25" customHeight="1" thickBot="1">
      <c r="B6" s="274"/>
      <c r="C6" s="271"/>
      <c r="D6" s="273"/>
      <c r="E6" s="273"/>
      <c r="F6" s="273"/>
      <c r="G6" s="273"/>
      <c r="H6" s="273"/>
      <c r="I6" s="273"/>
      <c r="J6" s="273"/>
      <c r="K6" s="273"/>
      <c r="L6" s="272"/>
      <c r="M6" s="271"/>
      <c r="P6" s="189"/>
    </row>
    <row r="7" spans="2:18" ht="15" customHeight="1">
      <c r="B7" s="195"/>
      <c r="C7" s="215"/>
      <c r="D7" s="343"/>
      <c r="E7" s="344"/>
      <c r="F7" s="344"/>
      <c r="G7" s="270" t="s">
        <v>208</v>
      </c>
      <c r="H7" s="270" t="s">
        <v>207</v>
      </c>
      <c r="I7" s="269" t="s">
        <v>206</v>
      </c>
      <c r="J7" s="347"/>
      <c r="K7" s="348"/>
      <c r="L7" s="348"/>
      <c r="M7" s="270" t="s">
        <v>208</v>
      </c>
      <c r="N7" s="270" t="s">
        <v>207</v>
      </c>
      <c r="O7" s="269" t="s">
        <v>206</v>
      </c>
      <c r="P7" s="189"/>
    </row>
    <row r="8" spans="2:18" ht="15" customHeight="1" thickBot="1">
      <c r="B8" s="195"/>
      <c r="C8" s="215"/>
      <c r="D8" s="345"/>
      <c r="E8" s="346"/>
      <c r="F8" s="346"/>
      <c r="G8" s="268" t="s">
        <v>34</v>
      </c>
      <c r="H8" s="268" t="s">
        <v>189</v>
      </c>
      <c r="I8" s="267" t="s">
        <v>10</v>
      </c>
      <c r="J8" s="349"/>
      <c r="K8" s="350"/>
      <c r="L8" s="350"/>
      <c r="M8" s="268" t="s">
        <v>34</v>
      </c>
      <c r="N8" s="268" t="s">
        <v>189</v>
      </c>
      <c r="O8" s="267" t="s">
        <v>10</v>
      </c>
      <c r="P8" s="189"/>
    </row>
    <row r="9" spans="2:18" ht="15" customHeight="1" thickBot="1">
      <c r="B9" s="195"/>
      <c r="C9" s="215"/>
      <c r="D9" s="366" t="s">
        <v>71</v>
      </c>
      <c r="E9" s="367"/>
      <c r="F9" s="367"/>
      <c r="G9" s="367"/>
      <c r="H9" s="367"/>
      <c r="I9" s="368"/>
      <c r="J9" s="371" t="s">
        <v>205</v>
      </c>
      <c r="K9" s="372"/>
      <c r="L9" s="372"/>
      <c r="M9" s="372"/>
      <c r="N9" s="372"/>
      <c r="O9" s="373"/>
      <c r="P9" s="189"/>
    </row>
    <row r="10" spans="2:18" ht="15" customHeight="1">
      <c r="B10" s="195"/>
      <c r="C10" s="215" t="s">
        <v>204</v>
      </c>
      <c r="D10" s="374" t="s">
        <v>203</v>
      </c>
      <c r="E10" s="375"/>
      <c r="F10" s="376"/>
      <c r="G10" s="256" t="e">
        <f>+Diagrama!K93*(1-'Datos Extra'!E2)</f>
        <v>#REF!</v>
      </c>
      <c r="H10" s="255">
        <f>+Diagrama!I20</f>
        <v>0</v>
      </c>
      <c r="I10" s="249" t="e">
        <f>H10*G10</f>
        <v>#REF!</v>
      </c>
      <c r="J10" s="377" t="s">
        <v>193</v>
      </c>
      <c r="K10" s="378"/>
      <c r="L10" s="379"/>
      <c r="M10" s="266" t="e">
        <f>+Diagrama!J88*(1-'[4]Nuevo Ingreso Dat Plantas'!E68)</f>
        <v>#REF!</v>
      </c>
      <c r="N10" s="265">
        <f>+Diagrama!G54</f>
        <v>0</v>
      </c>
      <c r="O10" s="249" t="e">
        <f>N10*M10</f>
        <v>#REF!</v>
      </c>
      <c r="P10" s="189"/>
    </row>
    <row r="11" spans="2:18" ht="15" customHeight="1">
      <c r="B11" s="195"/>
      <c r="C11" s="215"/>
      <c r="D11" s="374" t="s">
        <v>202</v>
      </c>
      <c r="E11" s="375"/>
      <c r="F11" s="376"/>
      <c r="G11" s="228">
        <v>0</v>
      </c>
      <c r="H11" s="227">
        <v>0</v>
      </c>
      <c r="I11" s="249">
        <f>H11*G11</f>
        <v>0</v>
      </c>
      <c r="J11" s="374" t="s">
        <v>192</v>
      </c>
      <c r="K11" s="375"/>
      <c r="L11" s="376"/>
      <c r="M11" s="256">
        <f>+Diagrama!J86*(1-'[4]Nuevo Ingreso Dat Plantas'!E75)</f>
        <v>107666.20877499999</v>
      </c>
      <c r="N11" s="255">
        <f>++Diagrama!R63</f>
        <v>0</v>
      </c>
      <c r="O11" s="249">
        <f>N11*M11</f>
        <v>0</v>
      </c>
      <c r="P11" s="189"/>
    </row>
    <row r="12" spans="2:18" ht="15" customHeight="1">
      <c r="B12" s="195"/>
      <c r="C12" s="215"/>
      <c r="D12" s="374" t="s">
        <v>201</v>
      </c>
      <c r="E12" s="375"/>
      <c r="F12" s="376"/>
      <c r="G12" s="228">
        <v>0</v>
      </c>
      <c r="H12" s="227">
        <v>0</v>
      </c>
      <c r="I12" s="249">
        <v>0</v>
      </c>
      <c r="J12" s="374" t="s">
        <v>191</v>
      </c>
      <c r="K12" s="375"/>
      <c r="L12" s="376"/>
      <c r="M12" s="256" t="e">
        <f>+Diagrama!J87*(1-'[4]Nuevo Ingreso Dat Plantas'!E73)</f>
        <v>#REF!</v>
      </c>
      <c r="N12" s="255">
        <f>+Diagrama!N59</f>
        <v>0</v>
      </c>
      <c r="O12" s="249" t="e">
        <f>N12*M12</f>
        <v>#REF!</v>
      </c>
      <c r="P12" s="189"/>
    </row>
    <row r="13" spans="2:18" ht="15" customHeight="1" thickBot="1">
      <c r="B13" s="195"/>
      <c r="C13" s="215"/>
      <c r="D13" s="380" t="s">
        <v>200</v>
      </c>
      <c r="E13" s="381"/>
      <c r="F13" s="382"/>
      <c r="G13" s="228">
        <v>0</v>
      </c>
      <c r="H13" s="227">
        <v>0</v>
      </c>
      <c r="I13" s="249">
        <v>0</v>
      </c>
      <c r="J13" s="264" t="s">
        <v>199</v>
      </c>
      <c r="K13" s="263"/>
      <c r="L13" s="262"/>
      <c r="M13" s="261" t="e">
        <f>+Diagrama!J94*(1-'[4]Nuevo Ingreso Dat Plantas'!E51)</f>
        <v>#REF!</v>
      </c>
      <c r="N13" s="255">
        <f>+Diagrama!O10</f>
        <v>0</v>
      </c>
      <c r="O13" s="249" t="e">
        <f>N13*M13</f>
        <v>#REF!</v>
      </c>
      <c r="P13" s="189"/>
      <c r="R13" s="259"/>
    </row>
    <row r="14" spans="2:18" ht="15" customHeight="1" thickBot="1">
      <c r="B14" s="195"/>
      <c r="C14" s="215" t="s">
        <v>198</v>
      </c>
      <c r="D14" s="383" t="s">
        <v>179</v>
      </c>
      <c r="E14" s="384"/>
      <c r="F14" s="384"/>
      <c r="G14" s="247" t="e">
        <f>SUM(G10:G13)</f>
        <v>#REF!</v>
      </c>
      <c r="H14" s="248">
        <f>H10</f>
        <v>0</v>
      </c>
      <c r="I14" s="247" t="e">
        <f>I10</f>
        <v>#REF!</v>
      </c>
      <c r="J14" s="385" t="s">
        <v>179</v>
      </c>
      <c r="K14" s="384"/>
      <c r="L14" s="384"/>
      <c r="M14" s="247" t="e">
        <f>SUM(M10:M13)</f>
        <v>#REF!</v>
      </c>
      <c r="N14" s="248" t="e">
        <f>SUMPRODUCT(M10:M13,N10:N13)/M14</f>
        <v>#REF!</v>
      </c>
      <c r="O14" s="247" t="e">
        <f>N14*M14</f>
        <v>#REF!</v>
      </c>
      <c r="P14" s="189"/>
      <c r="Q14" s="260"/>
      <c r="R14" s="259"/>
    </row>
    <row r="15" spans="2:18" ht="15" customHeight="1" thickBot="1">
      <c r="B15" s="195"/>
      <c r="C15" s="215"/>
      <c r="D15" s="366" t="s">
        <v>197</v>
      </c>
      <c r="E15" s="367"/>
      <c r="F15" s="367"/>
      <c r="G15" s="367"/>
      <c r="H15" s="367"/>
      <c r="I15" s="368"/>
      <c r="J15" s="369" t="s">
        <v>196</v>
      </c>
      <c r="K15" s="369"/>
      <c r="L15" s="369"/>
      <c r="M15" s="369"/>
      <c r="N15" s="369"/>
      <c r="O15" s="370"/>
      <c r="P15" s="189"/>
    </row>
    <row r="16" spans="2:18" ht="15" customHeight="1" thickBot="1">
      <c r="B16" s="195"/>
      <c r="C16" s="215"/>
      <c r="D16" s="374" t="s">
        <v>195</v>
      </c>
      <c r="E16" s="375"/>
      <c r="F16" s="376"/>
      <c r="G16" s="228"/>
      <c r="H16" s="227">
        <f>+Diagrama!U18</f>
        <v>0</v>
      </c>
      <c r="I16" s="249">
        <f>H16*G16</f>
        <v>0</v>
      </c>
      <c r="J16" s="258" t="s">
        <v>194</v>
      </c>
      <c r="K16" s="258"/>
      <c r="L16" s="257"/>
      <c r="M16" s="256">
        <f>+Diagrama!J92</f>
        <v>43011</v>
      </c>
      <c r="N16" s="255">
        <f>+Diagrama!F32</f>
        <v>0</v>
      </c>
      <c r="O16" s="249">
        <f>N16*M16</f>
        <v>0</v>
      </c>
      <c r="P16" s="189"/>
      <c r="Q16" s="251"/>
    </row>
    <row r="17" spans="2:19" ht="15" customHeight="1" thickBot="1">
      <c r="B17" s="195"/>
      <c r="C17" s="215"/>
      <c r="D17" s="374" t="s">
        <v>193</v>
      </c>
      <c r="E17" s="375"/>
      <c r="F17" s="376"/>
      <c r="G17" s="228"/>
      <c r="H17" s="227">
        <f>+Diagrama!U69</f>
        <v>0</v>
      </c>
      <c r="I17" s="249">
        <f>H17*G17</f>
        <v>0</v>
      </c>
      <c r="J17" s="385" t="s">
        <v>179</v>
      </c>
      <c r="K17" s="384"/>
      <c r="L17" s="384"/>
      <c r="M17" s="214">
        <f>M16</f>
        <v>43011</v>
      </c>
      <c r="N17" s="254">
        <f>N16</f>
        <v>0</v>
      </c>
      <c r="O17" s="210">
        <f>N17*M17</f>
        <v>0</v>
      </c>
      <c r="P17" s="189"/>
      <c r="Q17" s="251"/>
    </row>
    <row r="18" spans="2:19" ht="15" customHeight="1">
      <c r="B18" s="195"/>
      <c r="C18" s="215"/>
      <c r="D18" s="374" t="s">
        <v>192</v>
      </c>
      <c r="E18" s="375"/>
      <c r="F18" s="376"/>
      <c r="G18" s="228"/>
      <c r="H18" s="227">
        <f>+Diagrama!T63</f>
        <v>0</v>
      </c>
      <c r="I18" s="249">
        <f>H18*G18</f>
        <v>0</v>
      </c>
      <c r="M18" s="253"/>
      <c r="N18" s="252"/>
      <c r="O18" s="252"/>
      <c r="P18" s="189"/>
      <c r="Q18" s="251"/>
    </row>
    <row r="19" spans="2:19" ht="15" customHeight="1">
      <c r="B19" s="195"/>
      <c r="C19" s="215"/>
      <c r="D19" s="374" t="s">
        <v>98</v>
      </c>
      <c r="E19" s="375"/>
      <c r="F19" s="376"/>
      <c r="G19" s="228"/>
      <c r="H19" s="227">
        <f>+Diagrama!T40</f>
        <v>0</v>
      </c>
      <c r="I19" s="249">
        <f>H19*G19</f>
        <v>0</v>
      </c>
      <c r="J19" s="389"/>
      <c r="K19" s="389"/>
      <c r="L19" s="389"/>
      <c r="M19" s="250"/>
      <c r="N19" s="217"/>
      <c r="O19" s="216"/>
      <c r="P19" s="189"/>
    </row>
    <row r="20" spans="2:19" ht="15" customHeight="1" thickBot="1">
      <c r="B20" s="195"/>
      <c r="C20" s="215"/>
      <c r="D20" s="374" t="s">
        <v>191</v>
      </c>
      <c r="E20" s="375"/>
      <c r="F20" s="376"/>
      <c r="G20" s="228"/>
      <c r="H20" s="227">
        <f>+Diagrama!T49</f>
        <v>0</v>
      </c>
      <c r="I20" s="249">
        <f>H20*G20</f>
        <v>0</v>
      </c>
      <c r="J20" s="390"/>
      <c r="K20" s="390"/>
      <c r="L20" s="390"/>
      <c r="M20" s="245"/>
      <c r="N20" s="208"/>
      <c r="O20" s="207"/>
      <c r="P20" s="189"/>
    </row>
    <row r="21" spans="2:19" ht="15" customHeight="1" thickBot="1">
      <c r="B21" s="195"/>
      <c r="C21" s="215"/>
      <c r="D21" s="383" t="s">
        <v>179</v>
      </c>
      <c r="E21" s="384"/>
      <c r="F21" s="384"/>
      <c r="G21" s="247">
        <f>SUM(G16:G20)</f>
        <v>0</v>
      </c>
      <c r="H21" s="248" t="e">
        <f>SUMPRODUCT(G16:G20,H16:H20)/G21</f>
        <v>#DIV/0!</v>
      </c>
      <c r="I21" s="247">
        <f>SUM(I16:I20)</f>
        <v>0</v>
      </c>
      <c r="J21" s="390"/>
      <c r="K21" s="390"/>
      <c r="L21" s="390"/>
      <c r="M21" s="245"/>
      <c r="N21" s="208"/>
      <c r="O21" s="207"/>
      <c r="P21" s="189"/>
    </row>
    <row r="22" spans="2:19" ht="15" customHeight="1" thickBot="1">
      <c r="B22" s="195"/>
      <c r="C22" s="215"/>
      <c r="D22" s="246"/>
      <c r="E22" s="246"/>
      <c r="F22" s="246"/>
      <c r="G22" s="246"/>
      <c r="H22" s="246"/>
      <c r="I22" s="246"/>
      <c r="J22" s="246"/>
      <c r="K22" s="246"/>
      <c r="L22" s="246"/>
      <c r="M22" s="245"/>
      <c r="N22" s="208"/>
      <c r="O22" s="207"/>
      <c r="P22" s="189"/>
    </row>
    <row r="23" spans="2:19" ht="15" hidden="1" customHeight="1" thickBot="1">
      <c r="B23" s="195"/>
      <c r="C23" s="215"/>
      <c r="D23" s="391" t="s">
        <v>190</v>
      </c>
      <c r="E23" s="369"/>
      <c r="F23" s="392"/>
      <c r="G23" s="244" t="s">
        <v>34</v>
      </c>
      <c r="H23" s="244" t="s">
        <v>189</v>
      </c>
      <c r="I23" s="243" t="s">
        <v>10</v>
      </c>
      <c r="J23" s="242" t="s">
        <v>188</v>
      </c>
      <c r="K23" s="241" t="s">
        <v>187</v>
      </c>
      <c r="L23" s="209"/>
      <c r="M23" s="240"/>
      <c r="N23" s="209"/>
      <c r="O23" s="209"/>
      <c r="P23" s="239"/>
    </row>
    <row r="24" spans="2:19" ht="15" hidden="1" customHeight="1">
      <c r="B24" s="195"/>
      <c r="C24" s="215"/>
      <c r="D24" s="386" t="s">
        <v>186</v>
      </c>
      <c r="E24" s="387"/>
      <c r="F24" s="388"/>
      <c r="G24" s="238"/>
      <c r="H24" s="237"/>
      <c r="I24" s="236"/>
      <c r="J24" s="221"/>
      <c r="K24" s="235"/>
      <c r="L24" s="219"/>
      <c r="M24" s="218">
        <v>0.76</v>
      </c>
      <c r="N24" s="217"/>
      <c r="O24" s="216"/>
      <c r="P24" s="189"/>
      <c r="S24" s="206"/>
    </row>
    <row r="25" spans="2:19" ht="15" hidden="1" customHeight="1">
      <c r="B25" s="195"/>
      <c r="C25" s="215"/>
      <c r="D25" s="399" t="s">
        <v>185</v>
      </c>
      <c r="E25" s="400"/>
      <c r="F25" s="401"/>
      <c r="G25" s="228"/>
      <c r="H25" s="227"/>
      <c r="I25" s="226"/>
      <c r="J25" s="221"/>
      <c r="K25" s="225"/>
      <c r="L25" s="219"/>
      <c r="M25" s="218">
        <v>8.68</v>
      </c>
      <c r="N25" s="217"/>
      <c r="O25" s="216"/>
      <c r="P25" s="189"/>
      <c r="S25" s="206"/>
    </row>
    <row r="26" spans="2:19" ht="15" hidden="1" customHeight="1">
      <c r="B26" s="195"/>
      <c r="C26" s="215"/>
      <c r="D26" s="399" t="s">
        <v>184</v>
      </c>
      <c r="E26" s="400"/>
      <c r="F26" s="401"/>
      <c r="G26" s="228"/>
      <c r="H26" s="227"/>
      <c r="I26" s="226"/>
      <c r="J26" s="221"/>
      <c r="K26" s="225"/>
      <c r="L26" s="219"/>
      <c r="M26" s="218">
        <v>0.76</v>
      </c>
      <c r="N26" s="217"/>
      <c r="O26" s="216"/>
      <c r="P26" s="189"/>
      <c r="S26" s="206"/>
    </row>
    <row r="27" spans="2:19" ht="15" hidden="1" customHeight="1">
      <c r="B27" s="195"/>
      <c r="C27" s="215"/>
      <c r="D27" s="399" t="s">
        <v>183</v>
      </c>
      <c r="E27" s="400"/>
      <c r="F27" s="401"/>
      <c r="G27" s="228"/>
      <c r="H27" s="227"/>
      <c r="I27" s="226"/>
      <c r="J27" s="221"/>
      <c r="K27" s="225"/>
      <c r="L27" s="219"/>
      <c r="M27" s="218">
        <v>8.39</v>
      </c>
      <c r="N27" s="217"/>
      <c r="O27" s="216"/>
      <c r="P27" s="189"/>
      <c r="S27" s="206"/>
    </row>
    <row r="28" spans="2:19" ht="15" hidden="1" customHeight="1">
      <c r="B28" s="195"/>
      <c r="C28" s="215"/>
      <c r="D28" s="234" t="s">
        <v>182</v>
      </c>
      <c r="E28" s="233"/>
      <c r="F28" s="232"/>
      <c r="G28" s="228"/>
      <c r="H28" s="227"/>
      <c r="I28" s="231"/>
      <c r="J28" s="230"/>
      <c r="K28" s="229"/>
      <c r="L28" s="219"/>
      <c r="M28" s="218"/>
      <c r="N28" s="217"/>
      <c r="O28" s="216"/>
      <c r="P28" s="189"/>
      <c r="S28" s="206"/>
    </row>
    <row r="29" spans="2:19" ht="15" hidden="1" customHeight="1">
      <c r="B29" s="195"/>
      <c r="C29" s="215"/>
      <c r="D29" s="374" t="s">
        <v>181</v>
      </c>
      <c r="E29" s="375"/>
      <c r="F29" s="376"/>
      <c r="G29" s="228"/>
      <c r="H29" s="227"/>
      <c r="I29" s="226"/>
      <c r="J29" s="221"/>
      <c r="K29" s="225"/>
      <c r="L29" s="219"/>
      <c r="M29" s="218">
        <v>0.05</v>
      </c>
      <c r="N29" s="217"/>
      <c r="O29" s="216"/>
      <c r="P29" s="189"/>
      <c r="S29" s="206"/>
    </row>
    <row r="30" spans="2:19" ht="15" hidden="1" customHeight="1" thickBot="1">
      <c r="B30" s="195"/>
      <c r="C30" s="215"/>
      <c r="D30" s="402" t="s">
        <v>180</v>
      </c>
      <c r="E30" s="403"/>
      <c r="F30" s="404"/>
      <c r="G30" s="224"/>
      <c r="H30" s="223"/>
      <c r="I30" s="222"/>
      <c r="J30" s="221"/>
      <c r="K30" s="220"/>
      <c r="L30" s="219"/>
      <c r="M30" s="218">
        <v>0.05</v>
      </c>
      <c r="N30" s="217"/>
      <c r="O30" s="216"/>
      <c r="P30" s="189"/>
      <c r="S30" s="206"/>
    </row>
    <row r="31" spans="2:19" ht="15" hidden="1" customHeight="1" thickBot="1">
      <c r="B31" s="195"/>
      <c r="C31" s="215"/>
      <c r="D31" s="405" t="s">
        <v>179</v>
      </c>
      <c r="E31" s="406"/>
      <c r="F31" s="406"/>
      <c r="G31" s="214">
        <v>0</v>
      </c>
      <c r="H31" s="213" t="e">
        <v>#DIV/0!</v>
      </c>
      <c r="I31" s="212">
        <v>0</v>
      </c>
      <c r="J31" s="211">
        <v>0</v>
      </c>
      <c r="K31" s="210">
        <v>0</v>
      </c>
      <c r="L31" s="209"/>
      <c r="M31" s="207"/>
      <c r="N31" s="208"/>
      <c r="O31" s="207"/>
      <c r="P31" s="189"/>
      <c r="S31" s="206"/>
    </row>
    <row r="32" spans="2:19" ht="15" hidden="1" customHeight="1" thickBot="1">
      <c r="B32" s="195"/>
      <c r="D32" s="205"/>
      <c r="H32" s="202"/>
      <c r="I32" s="204"/>
      <c r="J32" s="202"/>
      <c r="K32" s="203"/>
      <c r="L32" s="202"/>
      <c r="N32" s="201"/>
      <c r="P32" s="189"/>
    </row>
    <row r="33" spans="2:16" ht="15" customHeight="1" thickBot="1">
      <c r="B33" s="195"/>
      <c r="D33" s="407" t="s">
        <v>178</v>
      </c>
      <c r="E33" s="408"/>
      <c r="F33" s="408"/>
      <c r="G33" s="408"/>
      <c r="H33" s="408"/>
      <c r="I33" s="408"/>
      <c r="J33" s="408"/>
      <c r="K33" s="408"/>
      <c r="L33" s="408"/>
      <c r="M33" s="408"/>
      <c r="N33" s="408"/>
      <c r="O33" s="409"/>
      <c r="P33" s="189"/>
    </row>
    <row r="34" spans="2:16" ht="15" customHeight="1" thickBot="1">
      <c r="B34" s="195"/>
      <c r="P34" s="189"/>
    </row>
    <row r="35" spans="2:16" ht="15" customHeight="1" thickBot="1">
      <c r="B35" s="195"/>
      <c r="D35" s="410" t="s">
        <v>177</v>
      </c>
      <c r="E35" s="411"/>
      <c r="F35" s="412"/>
      <c r="G35" s="413"/>
      <c r="H35" s="413"/>
      <c r="J35" s="410" t="s">
        <v>176</v>
      </c>
      <c r="K35" s="411"/>
      <c r="L35" s="412"/>
      <c r="M35" s="413"/>
      <c r="N35" s="413"/>
      <c r="P35" s="189"/>
    </row>
    <row r="36" spans="2:16" ht="15" customHeight="1">
      <c r="B36" s="195"/>
      <c r="D36" s="393">
        <f>+Diagrama!J91/100</f>
        <v>0.82434808049810337</v>
      </c>
      <c r="E36" s="394"/>
      <c r="F36" s="395"/>
      <c r="G36" s="200"/>
      <c r="H36" s="199"/>
      <c r="J36" s="393" t="e">
        <f>D36*N14/H14</f>
        <v>#REF!</v>
      </c>
      <c r="K36" s="394"/>
      <c r="L36" s="395"/>
      <c r="M36" s="199"/>
      <c r="N36" s="199"/>
      <c r="P36" s="189"/>
    </row>
    <row r="37" spans="2:16" ht="15" customHeight="1" thickBot="1">
      <c r="B37" s="195"/>
      <c r="D37" s="396"/>
      <c r="E37" s="397"/>
      <c r="F37" s="398"/>
      <c r="G37" s="198"/>
      <c r="H37" s="196"/>
      <c r="J37" s="396"/>
      <c r="K37" s="397"/>
      <c r="L37" s="398"/>
      <c r="M37" s="197"/>
      <c r="N37" s="196"/>
      <c r="P37" s="189"/>
    </row>
    <row r="38" spans="2:16" ht="15" customHeight="1">
      <c r="B38" s="195"/>
      <c r="D38" s="192"/>
      <c r="E38" s="192"/>
      <c r="F38" s="192"/>
      <c r="G38" s="194"/>
      <c r="H38" s="193"/>
      <c r="J38" s="192"/>
      <c r="K38" s="192"/>
      <c r="L38" s="192"/>
      <c r="M38" s="191"/>
      <c r="N38" s="190"/>
      <c r="P38" s="189"/>
    </row>
    <row r="39" spans="2:16" ht="14.25" customHeight="1" thickBot="1">
      <c r="B39" s="188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6"/>
    </row>
    <row r="41" spans="2:16" ht="15" customHeight="1">
      <c r="H41" s="185"/>
    </row>
  </sheetData>
  <mergeCells count="45">
    <mergeCell ref="D2:E5"/>
    <mergeCell ref="F2:O3"/>
    <mergeCell ref="F4:K5"/>
    <mergeCell ref="L4:M5"/>
    <mergeCell ref="N4:O5"/>
    <mergeCell ref="D7:F8"/>
    <mergeCell ref="J7:L8"/>
    <mergeCell ref="D9:I9"/>
    <mergeCell ref="J9:O9"/>
    <mergeCell ref="D10:F10"/>
    <mergeCell ref="J10:L10"/>
    <mergeCell ref="D11:F11"/>
    <mergeCell ref="J11:L11"/>
    <mergeCell ref="D20:F20"/>
    <mergeCell ref="J20:L20"/>
    <mergeCell ref="D21:F21"/>
    <mergeCell ref="J21:L21"/>
    <mergeCell ref="D12:F12"/>
    <mergeCell ref="J12:L12"/>
    <mergeCell ref="D13:F13"/>
    <mergeCell ref="D14:F14"/>
    <mergeCell ref="J14:L14"/>
    <mergeCell ref="D23:F23"/>
    <mergeCell ref="D15:I15"/>
    <mergeCell ref="J15:O15"/>
    <mergeCell ref="G35:H35"/>
    <mergeCell ref="J35:L35"/>
    <mergeCell ref="M35:N35"/>
    <mergeCell ref="D24:F24"/>
    <mergeCell ref="D16:F16"/>
    <mergeCell ref="D17:F17"/>
    <mergeCell ref="J17:L17"/>
    <mergeCell ref="D18:F18"/>
    <mergeCell ref="D19:F19"/>
    <mergeCell ref="J19:L19"/>
    <mergeCell ref="D36:F37"/>
    <mergeCell ref="J36:L37"/>
    <mergeCell ref="D25:F25"/>
    <mergeCell ref="D26:F26"/>
    <mergeCell ref="D27:F27"/>
    <mergeCell ref="D29:F29"/>
    <mergeCell ref="D30:F30"/>
    <mergeCell ref="D31:F31"/>
    <mergeCell ref="D33:O33"/>
    <mergeCell ref="D35:F35"/>
  </mergeCells>
  <printOptions horizontalCentered="1"/>
  <pageMargins left="0.25" right="0.25" top="0.75" bottom="0.75" header="0.3" footer="0.3"/>
  <pageSetup scale="83" fitToHeight="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/>
  </sheetPr>
  <dimension ref="A1:CU260"/>
  <sheetViews>
    <sheetView topLeftCell="K21" zoomScale="90" zoomScaleNormal="90" workbookViewId="0">
      <selection activeCell="F11" sqref="F11"/>
    </sheetView>
  </sheetViews>
  <sheetFormatPr baseColWidth="10" defaultRowHeight="15"/>
  <cols>
    <col min="1" max="3" width="10.83203125" customWidth="1"/>
    <col min="4" max="4" width="15.5" customWidth="1"/>
    <col min="5" max="5" width="14.1640625" style="301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bestFit="1" customWidth="1"/>
    <col min="38" max="41" width="10.83203125" customWidth="1"/>
    <col min="42" max="42" width="15.1640625" customWidth="1"/>
    <col min="57" max="91" width="10.83203125" style="46"/>
  </cols>
  <sheetData>
    <row r="1" spans="1:99">
      <c r="A1" s="172">
        <v>261455.17020557521</v>
      </c>
      <c r="B1" s="172">
        <v>261455.17020557521</v>
      </c>
      <c r="C1" s="174">
        <v>0</v>
      </c>
      <c r="D1" s="174">
        <v>0</v>
      </c>
      <c r="E1" s="169">
        <v>0.01</v>
      </c>
      <c r="F1" s="172">
        <f>D1*B1</f>
        <v>0</v>
      </c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5"/>
      <c r="S1" s="175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99">
      <c r="A2" s="172">
        <v>11473.344999999999</v>
      </c>
      <c r="B2" s="172">
        <v>11473.344999999999</v>
      </c>
      <c r="C2" s="174">
        <v>0</v>
      </c>
      <c r="D2" s="174">
        <v>0</v>
      </c>
      <c r="E2" s="169">
        <v>0.01</v>
      </c>
      <c r="F2" s="172">
        <f t="shared" ref="F2:F60" si="0">D2*B2</f>
        <v>0</v>
      </c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5"/>
      <c r="S2" s="175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</row>
    <row r="3" spans="1:99" s="2" customFormat="1" ht="51" customHeight="1">
      <c r="A3" s="172">
        <v>249981.82520557521</v>
      </c>
      <c r="B3" s="172">
        <v>249981.82520557521</v>
      </c>
      <c r="C3" s="174">
        <v>0</v>
      </c>
      <c r="D3" s="174">
        <v>0</v>
      </c>
      <c r="E3" s="169">
        <v>0.01</v>
      </c>
      <c r="F3" s="172">
        <f t="shared" si="0"/>
        <v>0</v>
      </c>
      <c r="G3" s="176"/>
      <c r="H3" s="176"/>
      <c r="I3" s="176"/>
      <c r="J3" s="176"/>
      <c r="K3" s="177"/>
      <c r="L3" s="177"/>
      <c r="M3" s="177"/>
      <c r="N3" s="177"/>
      <c r="O3" s="177"/>
      <c r="P3" s="177"/>
      <c r="Q3" s="177"/>
      <c r="R3" s="178"/>
      <c r="S3" s="178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3"/>
      <c r="CK3" s="153"/>
      <c r="CL3" s="153"/>
      <c r="CM3" s="153"/>
      <c r="CN3" s="153"/>
      <c r="CO3" s="153"/>
      <c r="CP3" s="153"/>
      <c r="CQ3" s="153"/>
      <c r="CR3" s="153"/>
      <c r="CS3" s="153"/>
      <c r="CT3" s="153"/>
      <c r="CU3" s="153"/>
    </row>
    <row r="4" spans="1:99" s="2" customFormat="1" ht="83" customHeight="1">
      <c r="A4" s="172">
        <v>-4116.7369201152997</v>
      </c>
      <c r="B4" s="172">
        <v>-4116.7369201152997</v>
      </c>
      <c r="C4" s="174">
        <v>0</v>
      </c>
      <c r="D4" s="174">
        <v>0</v>
      </c>
      <c r="E4" s="169">
        <v>0.01</v>
      </c>
      <c r="F4" s="172">
        <f t="shared" si="0"/>
        <v>0</v>
      </c>
      <c r="G4" s="176"/>
      <c r="H4" s="176"/>
      <c r="I4" s="172"/>
      <c r="J4" s="172"/>
      <c r="K4" s="172"/>
      <c r="L4" s="172"/>
      <c r="M4" s="172"/>
      <c r="N4" s="172"/>
      <c r="O4" s="172"/>
      <c r="P4" s="172"/>
      <c r="Q4" s="172"/>
      <c r="R4" s="179"/>
      <c r="S4" s="179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3"/>
      <c r="AK4" s="154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155"/>
      <c r="CE4" s="155"/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3"/>
      <c r="CU4" s="153"/>
    </row>
    <row r="5" spans="1:99">
      <c r="A5" s="172">
        <v>254098.5621256904</v>
      </c>
      <c r="B5" s="172">
        <v>254098.5621256904</v>
      </c>
      <c r="C5" s="174">
        <v>0</v>
      </c>
      <c r="D5" s="174">
        <v>0</v>
      </c>
      <c r="E5" s="169">
        <v>0.01</v>
      </c>
      <c r="F5" s="172">
        <f t="shared" si="0"/>
        <v>0</v>
      </c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9"/>
      <c r="S5" s="179"/>
      <c r="T5" s="157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7"/>
      <c r="AF5" s="157"/>
      <c r="AG5" s="157"/>
      <c r="AH5" s="157"/>
      <c r="AI5" s="157"/>
      <c r="AJ5" s="157"/>
      <c r="AK5" s="157"/>
      <c r="AL5" s="157"/>
      <c r="AM5" s="157"/>
      <c r="AN5" s="157"/>
      <c r="AO5" s="157"/>
      <c r="AP5" s="157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</row>
    <row r="6" spans="1:99">
      <c r="A6" s="172">
        <v>693.98717870610005</v>
      </c>
      <c r="B6" s="172">
        <v>693.98717870610005</v>
      </c>
      <c r="C6" s="174">
        <v>0</v>
      </c>
      <c r="D6" s="174">
        <v>0</v>
      </c>
      <c r="E6" s="169">
        <v>0.01</v>
      </c>
      <c r="F6" s="172">
        <f t="shared" si="0"/>
        <v>0</v>
      </c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9"/>
      <c r="S6" s="179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>
      <c r="A7" s="172">
        <v>253404.5749469843</v>
      </c>
      <c r="B7" s="172">
        <v>253404.5749469843</v>
      </c>
      <c r="C7" s="174">
        <v>0</v>
      </c>
      <c r="D7" s="174">
        <v>0</v>
      </c>
      <c r="E7" s="169">
        <v>0.01</v>
      </c>
      <c r="F7" s="172">
        <f t="shared" si="0"/>
        <v>0</v>
      </c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9"/>
      <c r="S7" s="179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</row>
    <row r="8" spans="1:99">
      <c r="A8" s="172">
        <v>1500</v>
      </c>
      <c r="B8" s="172">
        <v>1500</v>
      </c>
      <c r="C8" s="174">
        <v>0</v>
      </c>
      <c r="D8" s="174">
        <v>0</v>
      </c>
      <c r="E8" s="169">
        <v>0.01</v>
      </c>
      <c r="F8" s="172">
        <f t="shared" si="0"/>
        <v>0</v>
      </c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9"/>
      <c r="S8" s="179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7"/>
      <c r="AL8" s="157"/>
      <c r="AM8" s="157"/>
      <c r="AN8" s="157"/>
      <c r="AO8" s="157"/>
      <c r="AP8" s="157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</row>
    <row r="9" spans="1:99">
      <c r="A9" s="172">
        <v>43011</v>
      </c>
      <c r="B9" s="172">
        <v>43011</v>
      </c>
      <c r="C9" s="174">
        <v>0</v>
      </c>
      <c r="D9" s="174">
        <v>0</v>
      </c>
      <c r="E9" s="169">
        <v>0.01</v>
      </c>
      <c r="F9" s="172">
        <f t="shared" si="0"/>
        <v>0</v>
      </c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9"/>
      <c r="S9" s="179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  <c r="AN9" s="157"/>
      <c r="AO9" s="157"/>
      <c r="AP9" s="157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</row>
    <row r="10" spans="1:99">
      <c r="A10" s="172">
        <v>208893.5749469843</v>
      </c>
      <c r="B10" s="172">
        <v>208893.5749469843</v>
      </c>
      <c r="C10" s="174">
        <v>0</v>
      </c>
      <c r="D10" s="174">
        <v>0</v>
      </c>
      <c r="E10" s="169">
        <v>0.01</v>
      </c>
      <c r="F10" s="172">
        <f t="shared" si="0"/>
        <v>0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9"/>
      <c r="S10" s="179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157"/>
      <c r="AL10" s="157"/>
      <c r="AM10" s="157"/>
      <c r="AN10" s="157"/>
      <c r="AO10" s="157"/>
      <c r="AP10" s="157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</row>
    <row r="11" spans="1:99">
      <c r="A11" s="172">
        <v>-870</v>
      </c>
      <c r="B11" s="172">
        <v>-870</v>
      </c>
      <c r="C11" s="174">
        <v>0</v>
      </c>
      <c r="D11" s="174">
        <v>0</v>
      </c>
      <c r="E11" s="169">
        <v>0.01</v>
      </c>
      <c r="F11" s="172">
        <f t="shared" si="0"/>
        <v>0</v>
      </c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9"/>
      <c r="S11" s="179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57"/>
      <c r="AG11" s="157"/>
      <c r="AH11" s="157"/>
      <c r="AI11" s="157"/>
      <c r="AJ11" s="157"/>
      <c r="AK11" s="157"/>
      <c r="AL11" s="157"/>
      <c r="AM11" s="157"/>
      <c r="AN11" s="157"/>
      <c r="AO11" s="157"/>
      <c r="AP11" s="157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</row>
    <row r="12" spans="1:99">
      <c r="A12" s="172">
        <v>0</v>
      </c>
      <c r="B12" s="172">
        <v>0</v>
      </c>
      <c r="C12" s="174">
        <v>0</v>
      </c>
      <c r="D12" s="174">
        <v>0</v>
      </c>
      <c r="E12" s="169">
        <v>0.01</v>
      </c>
      <c r="F12" s="172">
        <f t="shared" si="0"/>
        <v>0</v>
      </c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9"/>
      <c r="S12" s="179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  <c r="AO12" s="157"/>
      <c r="AP12" s="157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</row>
    <row r="13" spans="1:99">
      <c r="A13" s="172">
        <v>209763.5749469843</v>
      </c>
      <c r="B13" s="172">
        <v>209763.5749469843</v>
      </c>
      <c r="C13" s="174">
        <v>0</v>
      </c>
      <c r="D13" s="174">
        <v>0</v>
      </c>
      <c r="E13" s="169">
        <v>0.01</v>
      </c>
      <c r="F13" s="172">
        <f t="shared" si="0"/>
        <v>0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9"/>
      <c r="S13" s="179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pans="1:99">
      <c r="A14" s="172">
        <v>84629.508799999996</v>
      </c>
      <c r="B14" s="172">
        <v>84629.508799999996</v>
      </c>
      <c r="C14" s="174">
        <v>0</v>
      </c>
      <c r="D14" s="174">
        <v>0</v>
      </c>
      <c r="E14" s="169">
        <v>0.01</v>
      </c>
      <c r="F14" s="172">
        <f t="shared" si="0"/>
        <v>0</v>
      </c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9"/>
      <c r="S14" s="179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</row>
    <row r="15" spans="1:99">
      <c r="A15" s="172">
        <v>125134.0661469843</v>
      </c>
      <c r="B15" s="172">
        <v>125134.0661469843</v>
      </c>
      <c r="C15" s="174">
        <v>0</v>
      </c>
      <c r="D15" s="174">
        <v>0</v>
      </c>
      <c r="E15" s="169">
        <v>0.01</v>
      </c>
      <c r="F15" s="172">
        <f t="shared" si="0"/>
        <v>0</v>
      </c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9"/>
      <c r="S15" s="179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>
      <c r="A16" s="172">
        <v>0</v>
      </c>
      <c r="B16" s="172">
        <v>0</v>
      </c>
      <c r="C16" s="174">
        <v>0</v>
      </c>
      <c r="D16" s="174">
        <v>0</v>
      </c>
      <c r="E16" s="169">
        <v>0.01</v>
      </c>
      <c r="F16" s="172">
        <f t="shared" si="0"/>
        <v>0</v>
      </c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9"/>
      <c r="S16" s="179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>
      <c r="A17" s="172">
        <v>1151.136</v>
      </c>
      <c r="B17" s="172">
        <v>1151.136</v>
      </c>
      <c r="C17" s="174">
        <v>0</v>
      </c>
      <c r="D17" s="174">
        <v>0</v>
      </c>
      <c r="E17" s="169">
        <v>0.01</v>
      </c>
      <c r="F17" s="172">
        <f t="shared" si="0"/>
        <v>0</v>
      </c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9"/>
      <c r="S17" s="179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>
      <c r="A18" s="172">
        <v>0</v>
      </c>
      <c r="B18" s="172">
        <v>0</v>
      </c>
      <c r="C18" s="174">
        <v>0</v>
      </c>
      <c r="D18" s="174">
        <v>0</v>
      </c>
      <c r="E18" s="169">
        <v>0.01</v>
      </c>
      <c r="F18" s="172">
        <f t="shared" si="0"/>
        <v>0</v>
      </c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9"/>
      <c r="S18" s="179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>
      <c r="A19" s="172">
        <v>0</v>
      </c>
      <c r="B19" s="172">
        <v>0</v>
      </c>
      <c r="C19" s="174">
        <v>0</v>
      </c>
      <c r="D19" s="174">
        <v>0</v>
      </c>
      <c r="E19" s="169">
        <v>0.01</v>
      </c>
      <c r="F19" s="172">
        <f t="shared" si="0"/>
        <v>0</v>
      </c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9"/>
      <c r="S19" s="179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>
      <c r="A20" s="172">
        <v>1151.136</v>
      </c>
      <c r="B20" s="172">
        <v>1151.136</v>
      </c>
      <c r="C20" s="174">
        <v>0</v>
      </c>
      <c r="D20" s="174">
        <v>0</v>
      </c>
      <c r="E20" s="169">
        <v>0.01</v>
      </c>
      <c r="F20" s="172">
        <f t="shared" si="0"/>
        <v>0</v>
      </c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9"/>
      <c r="S20" s="179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</row>
    <row r="21" spans="1:99">
      <c r="A21" s="172">
        <v>83478.372799999997</v>
      </c>
      <c r="B21" s="172">
        <v>83478.372799999997</v>
      </c>
      <c r="C21" s="174">
        <v>0</v>
      </c>
      <c r="D21" s="174">
        <v>0</v>
      </c>
      <c r="E21" s="169">
        <v>0.01</v>
      </c>
      <c r="F21" s="172">
        <f t="shared" si="0"/>
        <v>0</v>
      </c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9"/>
      <c r="S21" s="179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</row>
    <row r="22" spans="1:99">
      <c r="A22" s="172">
        <v>87216.858032629694</v>
      </c>
      <c r="B22" s="172">
        <v>87216.858032629694</v>
      </c>
      <c r="C22" s="174">
        <v>0</v>
      </c>
      <c r="D22" s="174">
        <v>0</v>
      </c>
      <c r="E22" s="169">
        <v>0.01</v>
      </c>
      <c r="F22" s="172">
        <f t="shared" si="0"/>
        <v>0</v>
      </c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9"/>
      <c r="S22" s="179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</row>
    <row r="23" spans="1:99">
      <c r="A23" s="172">
        <v>0</v>
      </c>
      <c r="B23" s="172">
        <v>0</v>
      </c>
      <c r="C23" s="174">
        <v>0</v>
      </c>
      <c r="D23" s="174">
        <v>0</v>
      </c>
      <c r="E23" s="169">
        <v>0.01</v>
      </c>
      <c r="F23" s="172">
        <f t="shared" si="0"/>
        <v>0</v>
      </c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9"/>
      <c r="S23" s="179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</row>
    <row r="24" spans="1:99">
      <c r="A24" s="172">
        <v>7011</v>
      </c>
      <c r="B24" s="172">
        <v>7011</v>
      </c>
      <c r="C24" s="174">
        <v>0</v>
      </c>
      <c r="D24" s="174">
        <v>0</v>
      </c>
      <c r="E24" s="169">
        <v>0.01</v>
      </c>
      <c r="F24" s="172">
        <f t="shared" si="0"/>
        <v>0</v>
      </c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9"/>
      <c r="S24" s="179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</row>
    <row r="25" spans="1:99">
      <c r="A25" s="172">
        <v>132145.06614698429</v>
      </c>
      <c r="B25" s="172">
        <v>132145.06614698429</v>
      </c>
      <c r="C25" s="174">
        <v>0</v>
      </c>
      <c r="D25" s="174">
        <v>0</v>
      </c>
      <c r="E25" s="169">
        <v>0.01</v>
      </c>
      <c r="F25" s="172">
        <f t="shared" si="0"/>
        <v>0</v>
      </c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9"/>
      <c r="S25" s="179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157"/>
      <c r="AL25" s="157"/>
      <c r="AM25" s="157"/>
      <c r="AN25" s="157"/>
      <c r="AO25" s="157"/>
      <c r="AP25" s="157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</row>
    <row r="26" spans="1:99">
      <c r="A26" s="172">
        <v>11983.055953228601</v>
      </c>
      <c r="B26" s="172">
        <v>11983.055953228601</v>
      </c>
      <c r="C26" s="174">
        <v>0</v>
      </c>
      <c r="D26" s="174">
        <v>0</v>
      </c>
      <c r="E26" s="169">
        <v>0.01</v>
      </c>
      <c r="F26" s="172">
        <f t="shared" si="0"/>
        <v>0</v>
      </c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9"/>
      <c r="S26" s="179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</row>
    <row r="27" spans="1:99">
      <c r="A27" s="172">
        <v>13097.735953228599</v>
      </c>
      <c r="B27" s="172">
        <v>13097.735953228599</v>
      </c>
      <c r="C27" s="174">
        <v>0</v>
      </c>
      <c r="D27" s="174">
        <v>0</v>
      </c>
      <c r="E27" s="169">
        <v>0.01</v>
      </c>
      <c r="F27" s="172">
        <f t="shared" si="0"/>
        <v>0</v>
      </c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9"/>
      <c r="S27" s="179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  <c r="AN27" s="157"/>
      <c r="AO27" s="157"/>
      <c r="AP27" s="157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</row>
    <row r="28" spans="1:99">
      <c r="A28" s="172">
        <v>1189.3055953229</v>
      </c>
      <c r="B28" s="172">
        <v>1189.3055953229</v>
      </c>
      <c r="C28" s="174">
        <v>0</v>
      </c>
      <c r="D28" s="174">
        <v>0</v>
      </c>
      <c r="E28" s="169">
        <v>0.01</v>
      </c>
      <c r="F28" s="172">
        <f t="shared" si="0"/>
        <v>0</v>
      </c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9"/>
      <c r="S28" s="179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</row>
    <row r="29" spans="1:99">
      <c r="A29" s="172">
        <v>1189.3055953229</v>
      </c>
      <c r="B29" s="172">
        <v>1189.3055953229</v>
      </c>
      <c r="C29" s="174">
        <v>0</v>
      </c>
      <c r="D29" s="174">
        <v>0</v>
      </c>
      <c r="E29" s="169">
        <v>0.01</v>
      </c>
      <c r="F29" s="172">
        <f t="shared" si="0"/>
        <v>0</v>
      </c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9"/>
      <c r="S29" s="179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</row>
    <row r="30" spans="1:99">
      <c r="A30" s="172">
        <v>1000</v>
      </c>
      <c r="B30" s="172">
        <v>1000</v>
      </c>
      <c r="C30" s="174">
        <v>0</v>
      </c>
      <c r="D30" s="174">
        <v>0</v>
      </c>
      <c r="E30" s="169">
        <v>0.01</v>
      </c>
      <c r="F30" s="172">
        <f t="shared" si="0"/>
        <v>0</v>
      </c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80"/>
      <c r="S30" s="180"/>
      <c r="T30" s="158"/>
      <c r="U30" s="158"/>
      <c r="V30" s="158"/>
      <c r="W30" s="158"/>
      <c r="X30" s="158"/>
      <c r="Y30" s="158"/>
      <c r="Z30" s="158"/>
      <c r="AA30" s="157"/>
      <c r="AB30" s="158"/>
      <c r="AC30" s="157"/>
      <c r="AD30" s="157"/>
      <c r="AE30" s="158"/>
      <c r="AF30" s="158"/>
      <c r="AG30" s="158"/>
      <c r="AH30" s="158"/>
      <c r="AI30" s="158"/>
      <c r="AJ30" s="158"/>
      <c r="AK30" s="159"/>
      <c r="AL30" s="51"/>
      <c r="AM30" s="51"/>
      <c r="AN30" s="44"/>
      <c r="AO30" s="44"/>
      <c r="AP30" s="44"/>
      <c r="BE30"/>
      <c r="BF30"/>
      <c r="CN30" s="46"/>
      <c r="CO30" s="46"/>
    </row>
    <row r="31" spans="1:99">
      <c r="A31" s="172">
        <v>3287.8954015671002</v>
      </c>
      <c r="B31" s="172">
        <v>3287.8954015671002</v>
      </c>
      <c r="C31" s="174">
        <v>0</v>
      </c>
      <c r="D31" s="174">
        <v>0</v>
      </c>
      <c r="E31" s="169">
        <v>0.01</v>
      </c>
      <c r="F31" s="172">
        <f t="shared" si="0"/>
        <v>0</v>
      </c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9"/>
      <c r="S31" s="179"/>
      <c r="T31" s="157"/>
      <c r="U31" s="158"/>
      <c r="V31" s="158"/>
      <c r="W31" s="158"/>
      <c r="X31" s="158"/>
      <c r="Y31" s="158"/>
      <c r="Z31" s="158"/>
      <c r="AA31" s="157"/>
      <c r="AB31" s="158"/>
      <c r="AC31" s="157"/>
      <c r="AD31" s="157"/>
      <c r="AE31" s="158"/>
      <c r="AF31" s="158"/>
      <c r="AG31" s="158"/>
      <c r="AH31" s="158"/>
      <c r="AI31" s="158"/>
      <c r="AJ31" s="158"/>
      <c r="AK31" s="159"/>
      <c r="AL31" s="51"/>
      <c r="AM31" s="51"/>
      <c r="AN31" s="44"/>
      <c r="AO31" s="44"/>
      <c r="AP31" s="44"/>
      <c r="BE31"/>
      <c r="BF31"/>
      <c r="CN31" s="46"/>
      <c r="CO31" s="46"/>
    </row>
    <row r="32" spans="1:99">
      <c r="A32" s="172">
        <v>123260.6</v>
      </c>
      <c r="B32" s="172">
        <v>123260.6</v>
      </c>
      <c r="C32" s="174">
        <v>0</v>
      </c>
      <c r="D32" s="174">
        <v>0</v>
      </c>
      <c r="E32" s="169">
        <v>0.01</v>
      </c>
      <c r="F32" s="172">
        <f t="shared" si="0"/>
        <v>0</v>
      </c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9"/>
      <c r="S32" s="179"/>
      <c r="T32" s="157"/>
      <c r="U32" s="157"/>
      <c r="V32" s="157"/>
      <c r="W32" s="157"/>
      <c r="X32" s="157"/>
      <c r="Y32" s="158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8"/>
      <c r="AK32" s="159"/>
      <c r="AL32" s="51"/>
      <c r="AM32" s="51"/>
      <c r="AN32" s="44"/>
      <c r="AO32" s="44"/>
      <c r="AP32" s="44"/>
      <c r="BE32"/>
      <c r="BF32"/>
      <c r="CN32" s="46"/>
      <c r="CO32" s="46"/>
    </row>
    <row r="33" spans="1:93">
      <c r="A33" s="172">
        <v>0</v>
      </c>
      <c r="B33" s="172">
        <v>0</v>
      </c>
      <c r="C33" s="174">
        <v>0</v>
      </c>
      <c r="D33" s="174">
        <v>0</v>
      </c>
      <c r="E33" s="169">
        <v>0.01</v>
      </c>
      <c r="F33" s="172">
        <f t="shared" si="0"/>
        <v>0</v>
      </c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80"/>
      <c r="S33" s="180"/>
      <c r="T33" s="158"/>
      <c r="U33" s="158"/>
      <c r="V33" s="158"/>
      <c r="W33" s="158"/>
      <c r="X33" s="158"/>
      <c r="Y33" s="158"/>
      <c r="Z33" s="157"/>
      <c r="AA33" s="157"/>
      <c r="AB33" s="158"/>
      <c r="AC33" s="157"/>
      <c r="AD33" s="157"/>
      <c r="AE33" s="158"/>
      <c r="AF33" s="158"/>
      <c r="AG33" s="158"/>
      <c r="AH33" s="158"/>
      <c r="AI33" s="158"/>
      <c r="AJ33" s="158"/>
      <c r="AK33" s="159"/>
      <c r="AL33" s="51"/>
      <c r="AM33" s="51"/>
      <c r="AN33" s="44"/>
      <c r="AO33" s="44"/>
      <c r="AP33" s="44"/>
      <c r="BE33"/>
      <c r="BF33"/>
      <c r="CN33" s="46"/>
      <c r="CO33" s="46"/>
    </row>
    <row r="34" spans="1:93">
      <c r="A34" s="172">
        <v>-3287.8954015671002</v>
      </c>
      <c r="B34" s="172">
        <v>-3287.8954015671002</v>
      </c>
      <c r="C34" s="174">
        <v>0</v>
      </c>
      <c r="D34" s="174">
        <v>0</v>
      </c>
      <c r="E34" s="169">
        <v>0.01</v>
      </c>
      <c r="F34" s="172">
        <f t="shared" si="0"/>
        <v>0</v>
      </c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80"/>
      <c r="S34" s="180"/>
      <c r="T34" s="158"/>
      <c r="U34" s="158"/>
      <c r="V34" s="158"/>
      <c r="W34" s="158"/>
      <c r="X34" s="158"/>
      <c r="Y34" s="158"/>
      <c r="Z34" s="157"/>
      <c r="AA34" s="157"/>
      <c r="AB34" s="158"/>
      <c r="AC34" s="157"/>
      <c r="AD34" s="157"/>
      <c r="AE34" s="158"/>
      <c r="AF34" s="158"/>
      <c r="AG34" s="158"/>
      <c r="AH34" s="158"/>
      <c r="AI34" s="158"/>
      <c r="AJ34" s="158"/>
      <c r="AK34" s="159"/>
      <c r="AL34" s="51"/>
      <c r="AM34" s="51"/>
      <c r="AN34" s="51"/>
      <c r="AO34" s="44"/>
      <c r="AP34" s="44"/>
      <c r="BE34"/>
      <c r="BF34"/>
      <c r="CN34" s="46"/>
      <c r="CO34" s="46"/>
    </row>
    <row r="35" spans="1:93">
      <c r="A35" s="172">
        <v>4312.5021039050998</v>
      </c>
      <c r="B35" s="172">
        <v>4312.5021039050998</v>
      </c>
      <c r="C35" s="174">
        <v>0</v>
      </c>
      <c r="D35" s="174">
        <v>0</v>
      </c>
      <c r="E35" s="169">
        <v>0.01</v>
      </c>
      <c r="F35" s="172">
        <f t="shared" si="0"/>
        <v>0</v>
      </c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80"/>
      <c r="S35" s="180"/>
      <c r="T35" s="158"/>
      <c r="U35" s="158"/>
      <c r="V35" s="158"/>
      <c r="W35" s="158"/>
      <c r="X35" s="158"/>
      <c r="Y35" s="158"/>
      <c r="Z35" s="157"/>
      <c r="AA35" s="157"/>
      <c r="AB35" s="158"/>
      <c r="AC35" s="157"/>
      <c r="AD35" s="157"/>
      <c r="AE35" s="158"/>
      <c r="AF35" s="158"/>
      <c r="AG35" s="158"/>
      <c r="AH35" s="158"/>
      <c r="AI35" s="158"/>
      <c r="AJ35" s="158"/>
      <c r="AK35" s="159"/>
      <c r="AL35" s="51"/>
      <c r="AM35" s="51"/>
      <c r="AN35" s="51"/>
      <c r="AO35" s="44"/>
      <c r="AP35" s="44"/>
      <c r="BE35"/>
      <c r="BF35"/>
      <c r="CN35" s="46"/>
      <c r="CO35" s="46"/>
    </row>
    <row r="36" spans="1:93">
      <c r="A36" s="172">
        <v>-6548.9178960949002</v>
      </c>
      <c r="B36" s="172">
        <v>-6548.9178960949002</v>
      </c>
      <c r="C36" s="174">
        <v>0</v>
      </c>
      <c r="D36" s="174">
        <v>0</v>
      </c>
      <c r="E36" s="169">
        <v>0.01</v>
      </c>
      <c r="F36" s="172">
        <f t="shared" si="0"/>
        <v>0</v>
      </c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80"/>
      <c r="S36" s="180"/>
      <c r="T36" s="158"/>
      <c r="U36" s="158"/>
      <c r="V36" s="158"/>
      <c r="W36" s="158"/>
      <c r="X36" s="158"/>
      <c r="Y36" s="158"/>
      <c r="Z36" s="158"/>
      <c r="AA36" s="158"/>
      <c r="AB36" s="158"/>
      <c r="AC36" s="157"/>
      <c r="AD36" s="157"/>
      <c r="AE36" s="158"/>
      <c r="AF36" s="158"/>
      <c r="AG36" s="158"/>
      <c r="AH36" s="158"/>
      <c r="AI36" s="158"/>
      <c r="AJ36" s="158"/>
      <c r="AK36" s="159"/>
      <c r="AL36" s="51"/>
      <c r="AM36" s="51"/>
      <c r="AN36" s="51"/>
      <c r="AO36" s="44"/>
      <c r="AP36" s="44"/>
      <c r="BE36"/>
      <c r="BF36"/>
      <c r="CN36" s="46"/>
      <c r="CO36" s="46"/>
    </row>
    <row r="37" spans="1:93">
      <c r="A37" s="172">
        <v>108207.245</v>
      </c>
      <c r="B37" s="172">
        <v>108207.245</v>
      </c>
      <c r="C37" s="174">
        <v>0</v>
      </c>
      <c r="D37" s="174">
        <v>0</v>
      </c>
      <c r="E37" s="169">
        <v>0.01</v>
      </c>
      <c r="F37" s="172">
        <f t="shared" si="0"/>
        <v>0</v>
      </c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80"/>
      <c r="S37" s="180"/>
      <c r="T37" s="158"/>
      <c r="U37" s="158"/>
      <c r="V37" s="158"/>
      <c r="W37" s="158"/>
      <c r="X37" s="158"/>
      <c r="Y37" s="158"/>
      <c r="Z37" s="158"/>
      <c r="AA37" s="158"/>
      <c r="AB37" s="158"/>
      <c r="AC37" s="157"/>
      <c r="AD37" s="157"/>
      <c r="AE37" s="158"/>
      <c r="AF37" s="158"/>
      <c r="AG37" s="158"/>
      <c r="AH37" s="158"/>
      <c r="AI37" s="158"/>
      <c r="AJ37" s="158"/>
      <c r="AK37" s="159"/>
      <c r="AL37" s="51"/>
      <c r="AM37" s="51"/>
      <c r="AN37" s="51"/>
      <c r="AO37" s="44"/>
      <c r="AP37" s="44"/>
      <c r="BE37"/>
      <c r="BF37"/>
      <c r="CN37" s="46"/>
      <c r="CO37" s="46"/>
    </row>
    <row r="38" spans="1:93">
      <c r="A38" s="172">
        <v>117765.29459999999</v>
      </c>
      <c r="B38" s="172">
        <v>117765.29459999999</v>
      </c>
      <c r="C38" s="174">
        <v>0</v>
      </c>
      <c r="D38" s="174">
        <v>0</v>
      </c>
      <c r="E38" s="169">
        <v>0.01</v>
      </c>
      <c r="F38" s="172">
        <f t="shared" si="0"/>
        <v>0</v>
      </c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9"/>
      <c r="S38" s="179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8"/>
      <c r="AK38" s="159"/>
      <c r="AL38" s="51"/>
      <c r="AM38" s="51"/>
      <c r="AN38" s="51"/>
      <c r="AO38" s="44"/>
      <c r="AP38" s="44"/>
      <c r="BE38"/>
      <c r="BF38"/>
      <c r="CN38" s="46"/>
      <c r="CO38" s="46"/>
    </row>
    <row r="39" spans="1:93">
      <c r="A39" s="172">
        <v>0</v>
      </c>
      <c r="B39" s="172">
        <v>0</v>
      </c>
      <c r="C39" s="174">
        <v>0</v>
      </c>
      <c r="D39" s="174">
        <v>0</v>
      </c>
      <c r="E39" s="169">
        <v>0.01</v>
      </c>
      <c r="F39" s="172">
        <f t="shared" si="0"/>
        <v>0</v>
      </c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9"/>
      <c r="S39" s="179"/>
      <c r="T39" s="157"/>
      <c r="U39" s="157"/>
      <c r="V39" s="157"/>
      <c r="W39" s="157"/>
      <c r="X39" s="157"/>
      <c r="Y39" s="157"/>
      <c r="Z39" s="158"/>
      <c r="AA39" s="157"/>
      <c r="AB39" s="157"/>
      <c r="AC39" s="157"/>
      <c r="AD39" s="157"/>
      <c r="AE39" s="157"/>
      <c r="AF39" s="157"/>
      <c r="AG39" s="157"/>
      <c r="AH39" s="157"/>
      <c r="AI39" s="157"/>
      <c r="AJ39" s="158"/>
      <c r="AK39" s="159"/>
      <c r="AL39" s="51"/>
      <c r="AM39" s="51"/>
      <c r="AN39" s="51"/>
      <c r="AO39" s="44"/>
      <c r="AP39" s="44"/>
      <c r="BE39"/>
      <c r="BF39"/>
      <c r="CN39" s="46"/>
      <c r="CO39" s="46"/>
    </row>
    <row r="40" spans="1:93">
      <c r="A40" s="172">
        <v>1926.6</v>
      </c>
      <c r="B40" s="172">
        <v>1926.6</v>
      </c>
      <c r="C40" s="174">
        <v>0</v>
      </c>
      <c r="D40" s="174">
        <v>0</v>
      </c>
      <c r="E40" s="169">
        <v>0.01</v>
      </c>
      <c r="F40" s="172">
        <f t="shared" si="0"/>
        <v>0</v>
      </c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80"/>
      <c r="S40" s="180"/>
      <c r="T40" s="158"/>
      <c r="U40" s="158"/>
      <c r="V40" s="158"/>
      <c r="W40" s="158"/>
      <c r="X40" s="158"/>
      <c r="Y40" s="158"/>
      <c r="Z40" s="158"/>
      <c r="AA40" s="157"/>
      <c r="AB40" s="158"/>
      <c r="AC40" s="157"/>
      <c r="AD40" s="157"/>
      <c r="AE40" s="158"/>
      <c r="AF40" s="158"/>
      <c r="AG40" s="158"/>
      <c r="AH40" s="158"/>
      <c r="AI40" s="158"/>
      <c r="AJ40" s="158"/>
      <c r="AK40" s="159"/>
      <c r="AL40" s="51"/>
      <c r="AM40" s="51"/>
      <c r="AN40" s="51"/>
      <c r="AO40" s="44"/>
      <c r="AP40" s="44"/>
      <c r="BE40"/>
      <c r="BF40"/>
      <c r="CN40" s="46"/>
      <c r="CO40" s="46"/>
    </row>
    <row r="41" spans="1:93">
      <c r="A41" s="172">
        <v>1541.28</v>
      </c>
      <c r="B41" s="172">
        <v>1541.28</v>
      </c>
      <c r="C41" s="174">
        <v>0</v>
      </c>
      <c r="D41" s="174">
        <v>0</v>
      </c>
      <c r="E41" s="169">
        <v>0.01</v>
      </c>
      <c r="F41" s="172">
        <f t="shared" si="0"/>
        <v>0</v>
      </c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80"/>
      <c r="S41" s="180"/>
      <c r="T41" s="158"/>
      <c r="U41" s="158"/>
      <c r="V41" s="158"/>
      <c r="W41" s="158"/>
      <c r="X41" s="158"/>
      <c r="Y41" s="158"/>
      <c r="Z41" s="158"/>
      <c r="AA41" s="157"/>
      <c r="AB41" s="158"/>
      <c r="AC41" s="157"/>
      <c r="AD41" s="157"/>
      <c r="AE41" s="158"/>
      <c r="AF41" s="158"/>
      <c r="AG41" s="158"/>
      <c r="AH41" s="158"/>
      <c r="AI41" s="158"/>
      <c r="AJ41" s="158"/>
      <c r="AK41" s="159"/>
      <c r="AL41" s="51"/>
      <c r="AM41" s="51"/>
      <c r="AN41" s="51"/>
      <c r="AO41" s="44"/>
      <c r="AP41" s="44"/>
      <c r="BE41"/>
      <c r="BF41"/>
      <c r="CN41" s="46"/>
      <c r="CO41" s="46"/>
    </row>
    <row r="42" spans="1:93">
      <c r="A42" s="172">
        <v>385.32</v>
      </c>
      <c r="B42" s="172">
        <v>385.32</v>
      </c>
      <c r="C42" s="174">
        <v>0</v>
      </c>
      <c r="D42" s="174">
        <v>0</v>
      </c>
      <c r="E42" s="169">
        <v>0.01</v>
      </c>
      <c r="F42" s="172">
        <f t="shared" si="0"/>
        <v>0</v>
      </c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80"/>
      <c r="S42" s="180"/>
      <c r="T42" s="158"/>
      <c r="U42" s="158"/>
      <c r="V42" s="158"/>
      <c r="W42" s="158"/>
      <c r="X42" s="158"/>
      <c r="Y42" s="158"/>
      <c r="Z42" s="158"/>
      <c r="AA42" s="157"/>
      <c r="AB42" s="158"/>
      <c r="AC42" s="157"/>
      <c r="AD42" s="157"/>
      <c r="AE42" s="158"/>
      <c r="AF42" s="158"/>
      <c r="AG42" s="158"/>
      <c r="AH42" s="158"/>
      <c r="AI42" s="158"/>
      <c r="AJ42" s="158"/>
      <c r="AK42" s="159"/>
      <c r="AL42" s="51"/>
      <c r="AM42" s="51"/>
      <c r="AN42" s="51"/>
      <c r="AO42" s="44"/>
      <c r="AP42" s="44"/>
      <c r="BE42"/>
      <c r="BF42"/>
      <c r="CN42" s="46"/>
      <c r="CO42" s="46"/>
    </row>
    <row r="43" spans="1:93">
      <c r="A43" s="172">
        <v>385.32</v>
      </c>
      <c r="B43" s="172">
        <v>385.32</v>
      </c>
      <c r="C43" s="174">
        <v>0</v>
      </c>
      <c r="D43" s="174">
        <v>0</v>
      </c>
      <c r="E43" s="169">
        <v>0.01</v>
      </c>
      <c r="F43" s="172">
        <f t="shared" si="0"/>
        <v>0</v>
      </c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80"/>
      <c r="S43" s="180"/>
      <c r="T43" s="158"/>
      <c r="U43" s="158"/>
      <c r="V43" s="158"/>
      <c r="W43" s="158"/>
      <c r="X43" s="158"/>
      <c r="Y43" s="158"/>
      <c r="Z43" s="158"/>
      <c r="AA43" s="157"/>
      <c r="AB43" s="158"/>
      <c r="AC43" s="157"/>
      <c r="AD43" s="157"/>
      <c r="AE43" s="158"/>
      <c r="AF43" s="158"/>
      <c r="AG43" s="158"/>
      <c r="AH43" s="158"/>
      <c r="AI43" s="158"/>
      <c r="AJ43" s="158"/>
      <c r="AK43" s="159"/>
      <c r="AL43" s="51"/>
      <c r="AM43" s="51"/>
      <c r="AN43" s="51"/>
      <c r="AO43" s="44"/>
      <c r="AP43" s="44"/>
      <c r="BE43"/>
      <c r="BF43"/>
      <c r="CN43" s="46"/>
      <c r="CO43" s="46"/>
    </row>
    <row r="44" spans="1:93">
      <c r="A44" s="172">
        <v>0</v>
      </c>
      <c r="B44" s="172">
        <v>0</v>
      </c>
      <c r="C44" s="174">
        <v>0</v>
      </c>
      <c r="D44" s="174">
        <v>0</v>
      </c>
      <c r="E44" s="169">
        <v>0.01</v>
      </c>
      <c r="F44" s="172">
        <f t="shared" si="0"/>
        <v>0</v>
      </c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9"/>
      <c r="S44" s="179"/>
      <c r="T44" s="157"/>
      <c r="U44" s="157"/>
      <c r="V44" s="158"/>
      <c r="W44" s="158"/>
      <c r="X44" s="158"/>
      <c r="Y44" s="158"/>
      <c r="Z44" s="158"/>
      <c r="AA44" s="157"/>
      <c r="AB44" s="158"/>
      <c r="AC44" s="158"/>
      <c r="AD44" s="158"/>
      <c r="AE44" s="158"/>
      <c r="AF44" s="158"/>
      <c r="AG44" s="158"/>
      <c r="AH44" s="158"/>
      <c r="AI44" s="158"/>
      <c r="AJ44" s="158"/>
      <c r="AK44" s="159"/>
      <c r="AL44" s="51"/>
      <c r="AM44" s="51"/>
      <c r="AN44" s="51"/>
      <c r="AO44" s="44"/>
      <c r="AP44" s="44"/>
      <c r="BE44"/>
      <c r="BF44"/>
      <c r="CN44" s="46"/>
      <c r="CO44" s="46"/>
    </row>
    <row r="45" spans="1:93" s="121" customFormat="1">
      <c r="A45" s="172">
        <v>0</v>
      </c>
      <c r="B45" s="172">
        <v>0</v>
      </c>
      <c r="C45" s="174">
        <v>0</v>
      </c>
      <c r="D45" s="174">
        <v>0</v>
      </c>
      <c r="E45" s="169">
        <v>0.01</v>
      </c>
      <c r="F45" s="172">
        <f t="shared" si="0"/>
        <v>0</v>
      </c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9"/>
      <c r="S45" s="179"/>
      <c r="T45" s="157"/>
      <c r="U45" s="157"/>
      <c r="V45" s="157"/>
      <c r="W45" s="157"/>
      <c r="X45" s="157"/>
      <c r="Y45" s="157"/>
      <c r="Z45" s="157"/>
      <c r="AA45" s="157"/>
      <c r="AB45" s="158"/>
      <c r="AC45" s="158"/>
      <c r="AD45" s="158"/>
      <c r="AE45" s="158"/>
      <c r="AF45" s="158"/>
      <c r="AG45" s="158"/>
      <c r="AH45" s="158"/>
      <c r="AI45" s="158"/>
      <c r="AJ45" s="158"/>
      <c r="AK45" s="159"/>
      <c r="AL45" s="51"/>
      <c r="AM45" s="51"/>
      <c r="AN45" s="51"/>
      <c r="AO45" s="44"/>
      <c r="AP45" s="44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</row>
    <row r="46" spans="1:93">
      <c r="A46" s="172">
        <v>0</v>
      </c>
      <c r="B46" s="172">
        <v>0</v>
      </c>
      <c r="C46" s="174">
        <v>0</v>
      </c>
      <c r="D46" s="174">
        <v>0</v>
      </c>
      <c r="E46" s="169">
        <v>0.01</v>
      </c>
      <c r="F46" s="172">
        <f t="shared" si="0"/>
        <v>0</v>
      </c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9"/>
      <c r="S46" s="179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7"/>
      <c r="AF46" s="158"/>
      <c r="AG46" s="158"/>
      <c r="AH46" s="158"/>
      <c r="AI46" s="158"/>
      <c r="AJ46" s="158"/>
      <c r="AK46" s="159"/>
      <c r="AL46" s="51"/>
      <c r="AM46" s="51"/>
      <c r="AN46" s="51"/>
      <c r="AO46" s="44"/>
      <c r="AP46" s="44"/>
      <c r="BE46"/>
      <c r="BF46"/>
      <c r="CN46" s="46"/>
      <c r="CO46" s="46"/>
    </row>
    <row r="47" spans="1:93" s="121" customFormat="1">
      <c r="A47" s="172">
        <v>0</v>
      </c>
      <c r="B47" s="172">
        <v>0</v>
      </c>
      <c r="C47" s="174">
        <v>0</v>
      </c>
      <c r="D47" s="174">
        <v>0</v>
      </c>
      <c r="E47" s="169">
        <v>0.01</v>
      </c>
      <c r="F47" s="172">
        <f t="shared" si="0"/>
        <v>0</v>
      </c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9"/>
      <c r="S47" s="179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9"/>
      <c r="AL47" s="51"/>
      <c r="AM47" s="51"/>
      <c r="AN47" s="51"/>
      <c r="AO47" s="44"/>
      <c r="AP47" s="44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</row>
    <row r="48" spans="1:93" s="121" customFormat="1">
      <c r="A48" s="172">
        <v>0</v>
      </c>
      <c r="B48" s="172">
        <v>0</v>
      </c>
      <c r="C48" s="174">
        <v>0</v>
      </c>
      <c r="D48" s="174">
        <v>0</v>
      </c>
      <c r="E48" s="169">
        <v>0.01</v>
      </c>
      <c r="F48" s="172">
        <f t="shared" si="0"/>
        <v>0</v>
      </c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80"/>
      <c r="S48" s="180"/>
      <c r="T48" s="158"/>
      <c r="U48" s="158"/>
      <c r="V48" s="158"/>
      <c r="W48" s="158"/>
      <c r="X48" s="158"/>
      <c r="Y48" s="158"/>
      <c r="Z48" s="158"/>
      <c r="AA48" s="157"/>
      <c r="AB48" s="158"/>
      <c r="AC48" s="158"/>
      <c r="AD48" s="158"/>
      <c r="AE48" s="158"/>
      <c r="AF48" s="158"/>
      <c r="AG48" s="158"/>
      <c r="AH48" s="158"/>
      <c r="AI48" s="158"/>
      <c r="AJ48" s="158"/>
      <c r="AK48" s="159"/>
      <c r="AL48" s="51"/>
      <c r="AM48" s="51"/>
      <c r="AN48" s="51"/>
      <c r="AO48" s="44"/>
      <c r="AP48" s="44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</row>
    <row r="49" spans="1:93" s="121" customFormat="1">
      <c r="A49" s="172">
        <v>10861.42</v>
      </c>
      <c r="B49" s="172">
        <v>10861.42</v>
      </c>
      <c r="C49" s="174">
        <v>0</v>
      </c>
      <c r="D49" s="174">
        <v>0</v>
      </c>
      <c r="E49" s="169">
        <v>0.01</v>
      </c>
      <c r="F49" s="172">
        <f t="shared" si="0"/>
        <v>0</v>
      </c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9"/>
      <c r="S49" s="179"/>
      <c r="T49" s="157"/>
      <c r="U49" s="157"/>
      <c r="V49" s="157"/>
      <c r="W49" s="157"/>
      <c r="X49" s="157"/>
      <c r="Y49" s="158"/>
      <c r="Z49" s="158"/>
      <c r="AA49" s="157"/>
      <c r="AB49" s="158"/>
      <c r="AC49" s="158"/>
      <c r="AD49" s="158"/>
      <c r="AE49" s="158"/>
      <c r="AF49" s="158"/>
      <c r="AG49" s="158"/>
      <c r="AH49" s="158"/>
      <c r="AI49" s="158"/>
      <c r="AJ49" s="158"/>
      <c r="AK49" s="159"/>
      <c r="AL49" s="51"/>
      <c r="AM49" s="51"/>
      <c r="AN49" s="51"/>
      <c r="AO49" s="44"/>
      <c r="AP49" s="44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</row>
    <row r="50" spans="1:93">
      <c r="A50" s="172">
        <v>1303.3704</v>
      </c>
      <c r="B50" s="172">
        <v>1303.3704</v>
      </c>
      <c r="C50" s="174">
        <v>0</v>
      </c>
      <c r="D50" s="174">
        <v>0</v>
      </c>
      <c r="E50" s="169">
        <v>0.01</v>
      </c>
      <c r="F50" s="172">
        <f t="shared" si="0"/>
        <v>0</v>
      </c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9"/>
      <c r="S50" s="179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8"/>
      <c r="AK50" s="159"/>
      <c r="AL50" s="51"/>
      <c r="AM50" s="51"/>
      <c r="AN50" s="51"/>
      <c r="AO50" s="44"/>
      <c r="AP50" s="44"/>
      <c r="BE50"/>
      <c r="BF50"/>
      <c r="CN50" s="46"/>
      <c r="CO50" s="46"/>
    </row>
    <row r="51" spans="1:93">
      <c r="A51" s="172">
        <v>0</v>
      </c>
      <c r="B51" s="172">
        <v>0</v>
      </c>
      <c r="C51" s="174">
        <v>0</v>
      </c>
      <c r="D51" s="174">
        <v>0</v>
      </c>
      <c r="E51" s="169">
        <v>0.01</v>
      </c>
      <c r="F51" s="172">
        <f t="shared" si="0"/>
        <v>0</v>
      </c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9"/>
      <c r="S51" s="179"/>
      <c r="T51" s="157"/>
      <c r="U51" s="157"/>
      <c r="V51" s="157"/>
      <c r="W51" s="158"/>
      <c r="X51" s="157"/>
      <c r="Y51" s="157"/>
      <c r="Z51" s="157"/>
      <c r="AA51" s="157"/>
      <c r="AB51" s="157"/>
      <c r="AC51" s="158"/>
      <c r="AD51" s="157"/>
      <c r="AE51" s="157"/>
      <c r="AF51" s="157"/>
      <c r="AG51" s="157"/>
      <c r="AH51" s="157"/>
      <c r="AI51" s="157"/>
      <c r="AJ51" s="158"/>
      <c r="AK51" s="159"/>
      <c r="AL51" s="51"/>
      <c r="AM51" s="51"/>
      <c r="AN51" s="51"/>
      <c r="AO51" s="44"/>
      <c r="AP51" s="44"/>
      <c r="BE51"/>
      <c r="BF51"/>
      <c r="CN51" s="46"/>
      <c r="CO51" s="46"/>
    </row>
    <row r="52" spans="1:93">
      <c r="A52" s="172">
        <v>9558.0496000000003</v>
      </c>
      <c r="B52" s="172">
        <v>9558.0496000000003</v>
      </c>
      <c r="C52" s="174">
        <v>0</v>
      </c>
      <c r="D52" s="174">
        <v>0</v>
      </c>
      <c r="E52" s="169">
        <v>0.01</v>
      </c>
      <c r="F52" s="172">
        <f t="shared" si="0"/>
        <v>0</v>
      </c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80"/>
      <c r="S52" s="180"/>
      <c r="T52" s="158"/>
      <c r="U52" s="158"/>
      <c r="V52" s="158"/>
      <c r="W52" s="158"/>
      <c r="X52" s="158"/>
      <c r="Y52" s="158"/>
      <c r="Z52" s="158"/>
      <c r="AA52" s="157"/>
      <c r="AB52" s="158"/>
      <c r="AC52" s="158"/>
      <c r="AD52" s="158"/>
      <c r="AE52" s="158"/>
      <c r="AF52" s="158"/>
      <c r="AG52" s="158"/>
      <c r="AH52" s="158"/>
      <c r="AI52" s="158"/>
      <c r="AJ52" s="158"/>
      <c r="AK52" s="159"/>
      <c r="AL52" s="51"/>
      <c r="AM52" s="51"/>
      <c r="AN52" s="51"/>
      <c r="AO52" s="44"/>
      <c r="AP52" s="44"/>
      <c r="BE52"/>
      <c r="BF52"/>
      <c r="CN52" s="46"/>
      <c r="CO52" s="46"/>
    </row>
    <row r="53" spans="1:93">
      <c r="A53" s="172">
        <v>0</v>
      </c>
      <c r="B53" s="172">
        <v>0</v>
      </c>
      <c r="C53" s="174">
        <v>0</v>
      </c>
      <c r="D53" s="174">
        <v>0</v>
      </c>
      <c r="E53" s="169">
        <v>0.01</v>
      </c>
      <c r="F53" s="172">
        <f t="shared" si="0"/>
        <v>0</v>
      </c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80"/>
      <c r="S53" s="180"/>
      <c r="T53" s="158"/>
      <c r="U53" s="158"/>
      <c r="V53" s="158"/>
      <c r="W53" s="158"/>
      <c r="X53" s="158"/>
      <c r="Y53" s="158"/>
      <c r="Z53" s="158"/>
      <c r="AA53" s="157"/>
      <c r="AB53" s="158"/>
      <c r="AC53" s="158"/>
      <c r="AD53" s="158"/>
      <c r="AE53" s="158"/>
      <c r="AF53" s="158"/>
      <c r="AG53" s="158"/>
      <c r="AH53" s="158"/>
      <c r="AI53" s="158"/>
      <c r="AJ53" s="158"/>
      <c r="AK53" s="159"/>
      <c r="AL53" s="51"/>
      <c r="AM53" s="51"/>
      <c r="AN53" s="51"/>
      <c r="AO53" s="44"/>
      <c r="AP53" s="44"/>
      <c r="BE53"/>
      <c r="BF53"/>
      <c r="CN53" s="46"/>
      <c r="CO53" s="46"/>
    </row>
    <row r="54" spans="1:93">
      <c r="A54" s="172">
        <v>0</v>
      </c>
      <c r="B54" s="172">
        <v>0</v>
      </c>
      <c r="C54" s="174">
        <v>0</v>
      </c>
      <c r="D54" s="174">
        <v>0</v>
      </c>
      <c r="E54" s="169">
        <v>0.01</v>
      </c>
      <c r="F54" s="172">
        <f t="shared" si="0"/>
        <v>0</v>
      </c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80"/>
      <c r="S54" s="180"/>
      <c r="T54" s="158"/>
      <c r="U54" s="158"/>
      <c r="V54" s="158"/>
      <c r="W54" s="158"/>
      <c r="X54" s="158"/>
      <c r="Y54" s="158"/>
      <c r="Z54" s="158"/>
      <c r="AA54" s="157"/>
      <c r="AB54" s="158"/>
      <c r="AC54" s="158"/>
      <c r="AD54" s="158"/>
      <c r="AE54" s="158"/>
      <c r="AF54" s="158"/>
      <c r="AG54" s="158"/>
      <c r="AH54" s="158"/>
      <c r="AI54" s="158"/>
      <c r="AJ54" s="158"/>
      <c r="AK54" s="159"/>
      <c r="AL54" s="51"/>
      <c r="AM54" s="51"/>
      <c r="AN54" s="51"/>
      <c r="AO54" s="44"/>
      <c r="AP54" s="44"/>
      <c r="BE54"/>
      <c r="BF54"/>
      <c r="CN54" s="46"/>
      <c r="CO54" s="46"/>
    </row>
    <row r="55" spans="1:93">
      <c r="A55" s="172">
        <v>1688.6904</v>
      </c>
      <c r="B55" s="172">
        <v>1688.6904</v>
      </c>
      <c r="C55" s="174">
        <v>0</v>
      </c>
      <c r="D55" s="174">
        <v>0</v>
      </c>
      <c r="E55" s="169">
        <v>0.01</v>
      </c>
      <c r="F55" s="172">
        <f t="shared" si="0"/>
        <v>0</v>
      </c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9"/>
      <c r="S55" s="179"/>
      <c r="T55" s="157"/>
      <c r="U55" s="157"/>
      <c r="V55" s="157"/>
      <c r="W55" s="157"/>
      <c r="X55" s="157"/>
      <c r="Y55" s="157"/>
      <c r="Z55" s="157"/>
      <c r="AA55" s="157"/>
      <c r="AB55" s="157"/>
      <c r="AC55" s="158"/>
      <c r="AD55" s="158"/>
      <c r="AE55" s="158"/>
      <c r="AF55" s="158"/>
      <c r="AG55" s="158"/>
      <c r="AH55" s="158"/>
      <c r="AI55" s="158"/>
      <c r="AJ55" s="158"/>
      <c r="AK55" s="159"/>
      <c r="AL55" s="51"/>
      <c r="AM55" s="51"/>
      <c r="AN55" s="51"/>
      <c r="AO55" s="44"/>
      <c r="AP55" s="44"/>
      <c r="BE55"/>
      <c r="BF55"/>
      <c r="CN55" s="46"/>
      <c r="CO55" s="46"/>
    </row>
    <row r="56" spans="1:93">
      <c r="A56" s="172">
        <v>0</v>
      </c>
      <c r="B56" s="172">
        <v>0</v>
      </c>
      <c r="C56" s="174">
        <v>0</v>
      </c>
      <c r="D56" s="174">
        <v>0</v>
      </c>
      <c r="E56" s="169">
        <v>0.01</v>
      </c>
      <c r="F56" s="172">
        <f t="shared" si="0"/>
        <v>0</v>
      </c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80"/>
      <c r="S56" s="180"/>
      <c r="T56" s="158"/>
      <c r="U56" s="158"/>
      <c r="V56" s="158"/>
      <c r="W56" s="158"/>
      <c r="X56" s="158"/>
      <c r="Y56" s="158"/>
      <c r="Z56" s="158"/>
      <c r="AA56" s="157"/>
      <c r="AB56" s="158"/>
      <c r="AC56" s="158"/>
      <c r="AD56" s="158"/>
      <c r="AE56" s="158"/>
      <c r="AF56" s="158"/>
      <c r="AG56" s="158"/>
      <c r="AH56" s="158"/>
      <c r="AI56" s="158"/>
      <c r="AJ56" s="158"/>
      <c r="AK56" s="159"/>
      <c r="AL56" s="51"/>
      <c r="AM56" s="51"/>
      <c r="AN56" s="51"/>
      <c r="AO56" s="44"/>
      <c r="AP56" s="44"/>
      <c r="BE56"/>
      <c r="BF56"/>
      <c r="CN56" s="46"/>
      <c r="CO56" s="46"/>
    </row>
    <row r="57" spans="1:93">
      <c r="A57" s="172">
        <v>11473.344999999999</v>
      </c>
      <c r="B57" s="172">
        <v>11473.344999999999</v>
      </c>
      <c r="C57" s="174">
        <v>0</v>
      </c>
      <c r="D57" s="174">
        <v>0</v>
      </c>
      <c r="E57" s="169">
        <v>0.01</v>
      </c>
      <c r="F57" s="172">
        <f t="shared" si="0"/>
        <v>0</v>
      </c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80"/>
      <c r="S57" s="180"/>
      <c r="T57" s="158"/>
      <c r="U57" s="158"/>
      <c r="V57" s="158"/>
      <c r="W57" s="158"/>
      <c r="X57" s="158"/>
      <c r="Y57" s="158"/>
      <c r="Z57" s="158"/>
      <c r="AA57" s="157"/>
      <c r="AB57" s="158"/>
      <c r="AC57" s="158"/>
      <c r="AD57" s="158"/>
      <c r="AE57" s="158"/>
      <c r="AF57" s="158"/>
      <c r="AG57" s="158"/>
      <c r="AH57" s="158"/>
      <c r="AI57" s="158"/>
      <c r="AJ57" s="158"/>
      <c r="AK57" s="159"/>
      <c r="AL57" s="51"/>
      <c r="AM57" s="51"/>
      <c r="AN57" s="51"/>
      <c r="AO57" s="44"/>
      <c r="AP57" s="44"/>
      <c r="BE57"/>
      <c r="BF57"/>
      <c r="CN57" s="46"/>
      <c r="CO57" s="46"/>
    </row>
    <row r="58" spans="1:93">
      <c r="A58" s="172">
        <v>0</v>
      </c>
      <c r="B58" s="172">
        <v>0</v>
      </c>
      <c r="C58" s="174">
        <v>0</v>
      </c>
      <c r="D58" s="174">
        <v>0</v>
      </c>
      <c r="E58" s="169">
        <v>0.01</v>
      </c>
      <c r="F58" s="172">
        <f t="shared" si="0"/>
        <v>0</v>
      </c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80"/>
      <c r="S58" s="180"/>
      <c r="T58" s="158"/>
      <c r="U58" s="158"/>
      <c r="V58" s="158"/>
      <c r="W58" s="158"/>
      <c r="X58" s="158"/>
      <c r="Y58" s="158"/>
      <c r="Z58" s="158"/>
      <c r="AA58" s="157"/>
      <c r="AB58" s="158"/>
      <c r="AC58" s="158"/>
      <c r="AD58" s="158"/>
      <c r="AE58" s="158"/>
      <c r="AF58" s="158"/>
      <c r="AG58" s="158"/>
      <c r="AH58" s="158"/>
      <c r="AI58" s="158"/>
      <c r="AJ58" s="158"/>
      <c r="AK58" s="159"/>
      <c r="AL58" s="51"/>
      <c r="AM58" s="51"/>
      <c r="AN58" s="51"/>
      <c r="AO58" s="44"/>
      <c r="AP58" s="44"/>
      <c r="BE58"/>
      <c r="BF58"/>
      <c r="CN58" s="46"/>
      <c r="CO58" s="46"/>
    </row>
    <row r="59" spans="1:93">
      <c r="A59" s="172">
        <v>0</v>
      </c>
      <c r="B59" s="172">
        <v>0</v>
      </c>
      <c r="C59" s="174">
        <v>0</v>
      </c>
      <c r="D59" s="174">
        <v>0</v>
      </c>
      <c r="E59" s="169">
        <v>0.01</v>
      </c>
      <c r="F59" s="172">
        <f t="shared" si="0"/>
        <v>0</v>
      </c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80"/>
      <c r="S59" s="180"/>
      <c r="T59" s="158"/>
      <c r="U59" s="158"/>
      <c r="V59" s="158"/>
      <c r="W59" s="158"/>
      <c r="X59" s="158"/>
      <c r="Y59" s="158"/>
      <c r="Z59" s="158"/>
      <c r="AA59" s="157"/>
      <c r="AB59" s="158"/>
      <c r="AC59" s="158"/>
      <c r="AD59" s="158"/>
      <c r="AE59" s="158"/>
      <c r="AF59" s="158"/>
      <c r="AG59" s="158"/>
      <c r="AH59" s="158"/>
      <c r="AI59" s="158"/>
      <c r="AJ59" s="158"/>
      <c r="AK59" s="159"/>
      <c r="AL59" s="51"/>
      <c r="AM59" s="51"/>
      <c r="AN59" s="51"/>
      <c r="AO59" s="44"/>
      <c r="AP59" s="44"/>
      <c r="BE59"/>
      <c r="BF59"/>
      <c r="CN59" s="46"/>
      <c r="CO59" s="46"/>
    </row>
    <row r="60" spans="1:93">
      <c r="A60" s="172">
        <v>0</v>
      </c>
      <c r="B60" s="172">
        <v>0</v>
      </c>
      <c r="C60" s="174">
        <v>0</v>
      </c>
      <c r="D60" s="174">
        <v>0</v>
      </c>
      <c r="E60" s="169">
        <v>0.01</v>
      </c>
      <c r="F60" s="172">
        <f t="shared" si="0"/>
        <v>0</v>
      </c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80"/>
      <c r="S60" s="180"/>
      <c r="T60" s="158"/>
      <c r="U60" s="158"/>
      <c r="V60" s="158"/>
      <c r="W60" s="158"/>
      <c r="X60" s="158"/>
      <c r="Y60" s="158"/>
      <c r="Z60" s="158"/>
      <c r="AA60" s="157"/>
      <c r="AB60" s="158"/>
      <c r="AC60" s="158"/>
      <c r="AD60" s="158"/>
      <c r="AE60" s="158"/>
      <c r="AF60" s="158"/>
      <c r="AG60" s="158"/>
      <c r="AH60" s="158"/>
      <c r="AI60" s="158"/>
      <c r="AJ60" s="158"/>
      <c r="AK60" s="159"/>
      <c r="AL60" s="51"/>
      <c r="AM60" s="51"/>
      <c r="AN60" s="51"/>
      <c r="AO60" s="44"/>
      <c r="AP60" s="44"/>
      <c r="BE60"/>
      <c r="BF60"/>
      <c r="CN60" s="46"/>
      <c r="CO60" s="46"/>
    </row>
    <row r="61" spans="1:93" s="121" customFormat="1">
      <c r="A61" s="172"/>
      <c r="B61" s="173"/>
      <c r="C61" s="173"/>
      <c r="D61" s="172"/>
      <c r="E61" s="169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80"/>
      <c r="S61" s="180"/>
      <c r="T61" s="158"/>
      <c r="U61" s="158"/>
      <c r="V61" s="158"/>
      <c r="W61" s="158"/>
      <c r="X61" s="158"/>
      <c r="Y61" s="158"/>
      <c r="Z61" s="158"/>
      <c r="AA61" s="157"/>
      <c r="AB61" s="158"/>
      <c r="AC61" s="158"/>
      <c r="AD61" s="158"/>
      <c r="AE61" s="158"/>
      <c r="AF61" s="158"/>
      <c r="AG61" s="158"/>
      <c r="AH61" s="158"/>
      <c r="AI61" s="158"/>
      <c r="AJ61" s="159"/>
      <c r="AK61" s="159"/>
      <c r="AL61" s="51"/>
      <c r="AM61" s="51"/>
      <c r="AN61" s="51"/>
      <c r="AO61" s="44"/>
      <c r="AP61" s="44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</row>
    <row r="62" spans="1:93" s="121" customFormat="1">
      <c r="A62" s="172"/>
      <c r="B62" s="173"/>
      <c r="C62" s="173"/>
      <c r="D62" s="172"/>
      <c r="E62" s="169"/>
      <c r="F62" s="172"/>
      <c r="G62" s="172"/>
      <c r="H62" s="172"/>
      <c r="I62" s="172"/>
      <c r="J62" s="172"/>
      <c r="K62" s="172"/>
      <c r="L62" s="172"/>
      <c r="M62" s="172"/>
      <c r="N62" s="156"/>
      <c r="O62" s="156"/>
      <c r="P62" s="156"/>
      <c r="Q62" s="156"/>
      <c r="R62" s="158"/>
      <c r="S62" s="158"/>
      <c r="T62" s="158"/>
      <c r="U62" s="158"/>
      <c r="V62" s="158"/>
      <c r="W62" s="158"/>
      <c r="X62" s="158"/>
      <c r="Y62" s="158"/>
      <c r="Z62" s="158"/>
      <c r="AA62" s="157"/>
      <c r="AB62" s="158"/>
      <c r="AC62" s="158"/>
      <c r="AD62" s="158"/>
      <c r="AE62" s="158"/>
      <c r="AF62" s="158"/>
      <c r="AG62" s="158"/>
      <c r="AH62" s="158"/>
      <c r="AI62" s="158"/>
      <c r="AJ62" s="159"/>
      <c r="AK62" s="159"/>
      <c r="AL62" s="51"/>
      <c r="AM62" s="51"/>
      <c r="AN62" s="51"/>
      <c r="AO62" s="44"/>
      <c r="AP62" s="44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</row>
    <row r="63" spans="1:93" s="121" customFormat="1">
      <c r="A63" s="172"/>
      <c r="B63" s="173"/>
      <c r="C63" s="173"/>
      <c r="D63" s="172"/>
      <c r="E63" s="169"/>
      <c r="F63" s="172"/>
      <c r="G63" s="172"/>
      <c r="H63" s="172"/>
      <c r="I63" s="172"/>
      <c r="J63" s="172"/>
      <c r="K63" s="172"/>
      <c r="L63" s="172"/>
      <c r="M63" s="172"/>
      <c r="N63" s="156"/>
      <c r="O63" s="156"/>
      <c r="P63" s="156"/>
      <c r="Q63" s="156"/>
      <c r="R63" s="44"/>
      <c r="S63" s="44"/>
      <c r="T63" s="44"/>
      <c r="U63" s="44"/>
      <c r="V63" s="44"/>
      <c r="W63" s="44"/>
      <c r="X63" s="44"/>
      <c r="Y63" s="44"/>
      <c r="Z63" s="44"/>
      <c r="AA63" s="157"/>
      <c r="AB63" s="44"/>
      <c r="AC63" s="44"/>
      <c r="AD63" s="44"/>
      <c r="AE63" s="44"/>
      <c r="AF63" s="44"/>
      <c r="AG63" s="44"/>
      <c r="AH63" s="44"/>
      <c r="AI63" s="44"/>
      <c r="AJ63" s="51"/>
      <c r="AK63" s="51"/>
      <c r="AL63" s="51"/>
      <c r="AM63" s="51"/>
      <c r="AN63" s="51"/>
      <c r="AO63" s="44"/>
      <c r="AP63" s="44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</row>
    <row r="64" spans="1:93" s="121" customFormat="1">
      <c r="A64" s="172"/>
      <c r="B64" s="172"/>
      <c r="C64" s="172"/>
      <c r="D64" s="172"/>
      <c r="E64" s="169"/>
      <c r="F64" s="172"/>
      <c r="G64" s="172"/>
      <c r="H64" s="172"/>
      <c r="I64" s="172"/>
      <c r="J64" s="172"/>
      <c r="K64" s="172"/>
      <c r="L64" s="172"/>
      <c r="M64" s="172"/>
      <c r="N64" s="156"/>
      <c r="O64" s="156"/>
      <c r="P64" s="156"/>
      <c r="Q64" s="156"/>
      <c r="R64" s="158"/>
      <c r="S64" s="158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58"/>
      <c r="AE64" s="158"/>
      <c r="AF64" s="158"/>
      <c r="AG64" s="158"/>
      <c r="AH64" s="44"/>
      <c r="AI64" s="51"/>
      <c r="AJ64" s="51"/>
      <c r="AK64" s="51"/>
      <c r="AL64" s="51"/>
      <c r="AM64" s="51"/>
      <c r="AN64" s="51"/>
      <c r="AO64" s="44"/>
      <c r="AP64" s="44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</row>
    <row r="65" spans="1:91" ht="19">
      <c r="A65" s="172"/>
      <c r="B65" s="172"/>
      <c r="C65" s="172"/>
      <c r="D65" s="172"/>
      <c r="E65" s="169"/>
      <c r="F65" s="172"/>
      <c r="G65" s="172"/>
      <c r="H65" s="172"/>
      <c r="I65" s="172"/>
      <c r="J65" s="172"/>
      <c r="K65" s="414"/>
      <c r="L65" s="414"/>
      <c r="M65" s="172"/>
      <c r="N65" s="415" t="s">
        <v>40</v>
      </c>
      <c r="O65" s="415"/>
      <c r="P65" s="415"/>
      <c r="Q65" s="156"/>
      <c r="R65" s="417"/>
      <c r="S65" s="417"/>
      <c r="T65" s="157"/>
      <c r="U65" s="157"/>
      <c r="V65" s="157"/>
      <c r="W65" s="160"/>
      <c r="X65" s="157"/>
      <c r="Y65" s="157"/>
      <c r="Z65" s="157"/>
      <c r="AA65" s="157"/>
      <c r="AB65" s="157"/>
      <c r="AC65" s="161"/>
      <c r="AD65" s="161"/>
      <c r="AE65" s="161"/>
      <c r="AF65" s="159"/>
      <c r="AG65" s="158"/>
      <c r="AH65" s="44"/>
      <c r="AI65" s="51"/>
      <c r="AJ65" s="51"/>
      <c r="AK65" s="51"/>
      <c r="AL65" s="51"/>
      <c r="AM65" s="51"/>
      <c r="AN65" s="51"/>
      <c r="AO65" s="44"/>
      <c r="AP65" s="44"/>
    </row>
    <row r="66" spans="1:91" ht="18.75" customHeight="1">
      <c r="A66" s="172"/>
      <c r="B66" s="172"/>
      <c r="C66" s="172"/>
      <c r="D66" s="172"/>
      <c r="E66" s="169"/>
      <c r="F66" s="172"/>
      <c r="G66" s="172"/>
      <c r="H66" s="172"/>
      <c r="I66" s="172"/>
      <c r="J66" s="172"/>
      <c r="K66" s="286"/>
      <c r="L66" s="286"/>
      <c r="M66" s="172"/>
      <c r="N66" s="286" t="s">
        <v>34</v>
      </c>
      <c r="O66" s="286" t="s">
        <v>9</v>
      </c>
      <c r="P66" s="294" t="s">
        <v>41</v>
      </c>
      <c r="Q66" s="156" t="s">
        <v>171</v>
      </c>
      <c r="R66" s="287"/>
      <c r="S66" s="287"/>
      <c r="T66" s="157"/>
      <c r="U66" s="162"/>
      <c r="V66" s="157"/>
      <c r="W66" s="162"/>
      <c r="X66" s="157"/>
      <c r="Y66" s="157"/>
      <c r="Z66" s="157"/>
      <c r="AA66" s="157"/>
      <c r="AB66" s="163"/>
      <c r="AC66" s="164"/>
      <c r="AD66" s="161"/>
      <c r="AE66" s="161"/>
      <c r="AF66" s="159"/>
      <c r="AG66" s="158"/>
      <c r="AH66" s="44"/>
      <c r="AI66" s="44"/>
      <c r="AJ66" s="44"/>
      <c r="AK66" s="44"/>
      <c r="AL66" s="51"/>
      <c r="AM66" s="51"/>
      <c r="AN66" s="51"/>
      <c r="AO66" s="44"/>
      <c r="AP66" s="44"/>
      <c r="AY66" s="46"/>
      <c r="AZ66" s="46"/>
      <c r="BA66" s="46"/>
      <c r="BB66" s="46"/>
      <c r="BC66" s="46"/>
      <c r="BD66" s="46"/>
      <c r="CH66"/>
      <c r="CI66"/>
      <c r="CJ66"/>
      <c r="CK66"/>
      <c r="CL66"/>
      <c r="CM66"/>
    </row>
    <row r="67" spans="1:91" ht="16">
      <c r="A67" s="172"/>
      <c r="B67" s="172"/>
      <c r="C67" s="172"/>
      <c r="D67" s="172"/>
      <c r="E67" s="169"/>
      <c r="F67" s="172"/>
      <c r="G67" s="172"/>
      <c r="H67" s="172"/>
      <c r="I67" s="172"/>
      <c r="J67" s="172"/>
      <c r="K67" s="288"/>
      <c r="L67" s="289"/>
      <c r="M67" s="172"/>
      <c r="N67" s="156">
        <f>B1</f>
        <v>261455.17020557521</v>
      </c>
      <c r="O67" s="169">
        <f>IF(D1&gt;1,D1/100,D1)</f>
        <v>0</v>
      </c>
      <c r="P67" s="295">
        <f t="shared" ref="P67:P98" si="1">D1</f>
        <v>0</v>
      </c>
      <c r="Q67" s="290">
        <f>E1</f>
        <v>0.01</v>
      </c>
      <c r="R67" s="291"/>
      <c r="S67" s="291"/>
      <c r="T67" s="157"/>
      <c r="U67" s="165"/>
      <c r="V67" s="166"/>
      <c r="W67" s="165"/>
      <c r="X67" s="166"/>
      <c r="Y67" s="157"/>
      <c r="Z67" s="157"/>
      <c r="AA67" s="167"/>
      <c r="AB67" s="161"/>
      <c r="AC67" s="161"/>
      <c r="AD67" s="157"/>
      <c r="AE67" s="157"/>
      <c r="AF67" s="159"/>
      <c r="AG67" s="158"/>
      <c r="AH67" s="44"/>
      <c r="AI67" s="44"/>
      <c r="AJ67" s="44"/>
      <c r="AK67" s="44"/>
      <c r="AL67" s="51"/>
      <c r="AM67" s="51"/>
      <c r="AN67" s="51"/>
      <c r="AO67" s="44"/>
      <c r="AP67" s="44"/>
      <c r="AY67" s="46"/>
      <c r="AZ67" s="46"/>
      <c r="BA67" s="46"/>
      <c r="BB67" s="46"/>
      <c r="BC67" s="46"/>
      <c r="BD67" s="46"/>
      <c r="CH67"/>
      <c r="CI67"/>
      <c r="CJ67"/>
      <c r="CK67"/>
      <c r="CL67"/>
      <c r="CM67"/>
    </row>
    <row r="68" spans="1:91" ht="16">
      <c r="A68" s="172"/>
      <c r="B68" s="172"/>
      <c r="C68" s="172"/>
      <c r="D68" s="172"/>
      <c r="E68" s="169"/>
      <c r="F68" s="172"/>
      <c r="G68" s="172"/>
      <c r="H68" s="172"/>
      <c r="I68" s="172"/>
      <c r="J68" s="172"/>
      <c r="K68" s="168"/>
      <c r="L68" s="169"/>
      <c r="M68" s="181"/>
      <c r="N68" s="156">
        <f t="shared" ref="N68:N126" si="2">A2</f>
        <v>11473.344999999999</v>
      </c>
      <c r="O68" s="169">
        <f t="shared" ref="O68:O125" si="3">IF(D2&gt;1,D2/100,D2)</f>
        <v>0</v>
      </c>
      <c r="P68" s="295">
        <f t="shared" si="1"/>
        <v>0</v>
      </c>
      <c r="Q68" s="290">
        <f t="shared" ref="Q68:Q126" si="4">E2</f>
        <v>0.01</v>
      </c>
      <c r="R68" s="291"/>
      <c r="S68" s="291"/>
      <c r="T68" s="157"/>
      <c r="U68" s="165"/>
      <c r="V68" s="166"/>
      <c r="W68" s="165"/>
      <c r="X68" s="166"/>
      <c r="Y68" s="157"/>
      <c r="Z68" s="157"/>
      <c r="AA68" s="167"/>
      <c r="AB68" s="161"/>
      <c r="AC68" s="161"/>
      <c r="AD68" s="157"/>
      <c r="AE68" s="157"/>
      <c r="AF68" s="159"/>
      <c r="AG68" s="158"/>
      <c r="AH68" s="44"/>
      <c r="AI68" s="44"/>
      <c r="AJ68" s="44"/>
      <c r="AK68" s="44"/>
      <c r="AL68" s="51"/>
      <c r="AM68" s="51"/>
      <c r="AN68" s="51"/>
      <c r="AO68" s="44"/>
      <c r="AP68" s="44"/>
      <c r="AY68" s="46"/>
      <c r="AZ68" s="46"/>
      <c r="BA68" s="46"/>
      <c r="BB68" s="46"/>
      <c r="BC68" s="46"/>
      <c r="BD68" s="46"/>
      <c r="CH68"/>
      <c r="CI68"/>
      <c r="CJ68"/>
      <c r="CK68"/>
      <c r="CL68"/>
      <c r="CM68"/>
    </row>
    <row r="69" spans="1:91" ht="16">
      <c r="A69" s="172"/>
      <c r="B69" s="172"/>
      <c r="C69" s="172"/>
      <c r="D69" s="172"/>
      <c r="E69" s="169"/>
      <c r="F69" s="172"/>
      <c r="G69" s="172"/>
      <c r="H69" s="172"/>
      <c r="I69" s="172"/>
      <c r="J69" s="172"/>
      <c r="K69" s="168"/>
      <c r="L69" s="169"/>
      <c r="M69" s="172"/>
      <c r="N69" s="156">
        <f t="shared" si="2"/>
        <v>249981.82520557521</v>
      </c>
      <c r="O69" s="169">
        <f t="shared" si="3"/>
        <v>0</v>
      </c>
      <c r="P69" s="295">
        <f t="shared" si="1"/>
        <v>0</v>
      </c>
      <c r="Q69" s="290">
        <f t="shared" si="4"/>
        <v>0.01</v>
      </c>
      <c r="R69" s="291"/>
      <c r="S69" s="291"/>
      <c r="T69" s="157"/>
      <c r="U69" s="165"/>
      <c r="V69" s="166"/>
      <c r="W69" s="165"/>
      <c r="X69" s="166"/>
      <c r="Y69" s="157"/>
      <c r="Z69" s="157"/>
      <c r="AA69" s="167"/>
      <c r="AB69" s="161"/>
      <c r="AC69" s="161"/>
      <c r="AD69" s="157"/>
      <c r="AE69" s="157"/>
      <c r="AF69" s="159"/>
      <c r="AG69" s="158"/>
      <c r="AH69" s="44"/>
      <c r="AI69" s="44"/>
      <c r="AJ69" s="44"/>
      <c r="AK69" s="44"/>
      <c r="AL69" s="51"/>
      <c r="AM69" s="51"/>
      <c r="AN69" s="51"/>
      <c r="AO69" s="44"/>
      <c r="AP69" s="44"/>
      <c r="AY69" s="46"/>
      <c r="AZ69" s="46"/>
      <c r="BA69" s="46"/>
      <c r="BB69" s="46"/>
      <c r="BC69" s="46"/>
      <c r="BD69" s="46"/>
      <c r="CH69"/>
      <c r="CI69"/>
      <c r="CJ69"/>
      <c r="CK69"/>
      <c r="CL69"/>
      <c r="CM69"/>
    </row>
    <row r="70" spans="1:91" ht="16">
      <c r="A70" s="172"/>
      <c r="B70" s="172"/>
      <c r="C70" s="172"/>
      <c r="D70" s="181"/>
      <c r="E70" s="169"/>
      <c r="F70" s="182"/>
      <c r="G70" s="172"/>
      <c r="H70" s="172"/>
      <c r="I70" s="172"/>
      <c r="J70" s="172"/>
      <c r="K70" s="168"/>
      <c r="L70" s="169"/>
      <c r="M70" s="172"/>
      <c r="N70" s="156">
        <f t="shared" si="2"/>
        <v>-4116.7369201152997</v>
      </c>
      <c r="O70" s="169">
        <f t="shared" si="3"/>
        <v>0</v>
      </c>
      <c r="P70" s="295">
        <f t="shared" si="1"/>
        <v>0</v>
      </c>
      <c r="Q70" s="290">
        <f t="shared" si="4"/>
        <v>0.01</v>
      </c>
      <c r="R70" s="291"/>
      <c r="S70" s="291"/>
      <c r="T70" s="157"/>
      <c r="U70" s="165"/>
      <c r="V70" s="166"/>
      <c r="W70" s="165"/>
      <c r="X70" s="166"/>
      <c r="Y70" s="157"/>
      <c r="Z70" s="157"/>
      <c r="AA70" s="167"/>
      <c r="AB70" s="161"/>
      <c r="AC70" s="161"/>
      <c r="AD70" s="157"/>
      <c r="AE70" s="157"/>
      <c r="AF70" s="159"/>
      <c r="AG70" s="158"/>
      <c r="AH70" s="44"/>
      <c r="AI70" s="44"/>
      <c r="AJ70" s="44"/>
      <c r="AK70" s="44"/>
      <c r="AL70" s="51"/>
      <c r="AM70" s="51"/>
      <c r="AN70" s="51"/>
      <c r="AO70" s="44"/>
      <c r="AP70" s="44"/>
      <c r="AY70" s="46"/>
      <c r="AZ70" s="46"/>
      <c r="BA70" s="46"/>
      <c r="BB70" s="46"/>
      <c r="BC70" s="46"/>
      <c r="BD70" s="46"/>
      <c r="CH70"/>
      <c r="CI70"/>
      <c r="CJ70"/>
      <c r="CK70"/>
      <c r="CL70"/>
      <c r="CM70"/>
    </row>
    <row r="71" spans="1:91" ht="16">
      <c r="A71" s="172"/>
      <c r="B71" s="172"/>
      <c r="C71" s="172"/>
      <c r="D71" s="172"/>
      <c r="E71" s="169"/>
      <c r="F71" s="172"/>
      <c r="G71" s="172"/>
      <c r="H71" s="172"/>
      <c r="I71" s="172"/>
      <c r="J71" s="172"/>
      <c r="K71" s="168"/>
      <c r="L71" s="169"/>
      <c r="M71" s="172"/>
      <c r="N71" s="156">
        <f t="shared" si="2"/>
        <v>254098.5621256904</v>
      </c>
      <c r="O71" s="169">
        <f t="shared" si="3"/>
        <v>0</v>
      </c>
      <c r="P71" s="295">
        <f t="shared" si="1"/>
        <v>0</v>
      </c>
      <c r="Q71" s="290">
        <f t="shared" si="4"/>
        <v>0.01</v>
      </c>
      <c r="R71" s="291"/>
      <c r="S71" s="291"/>
      <c r="T71" s="157"/>
      <c r="U71" s="165"/>
      <c r="V71" s="166"/>
      <c r="W71" s="165"/>
      <c r="X71" s="166"/>
      <c r="Y71" s="157"/>
      <c r="Z71" s="157"/>
      <c r="AA71" s="167"/>
      <c r="AB71" s="161"/>
      <c r="AC71" s="161"/>
      <c r="AD71" s="157"/>
      <c r="AE71" s="157"/>
      <c r="AF71" s="159"/>
      <c r="AG71" s="158"/>
      <c r="AH71" s="44"/>
      <c r="AI71" s="44"/>
      <c r="AJ71" s="44"/>
      <c r="AK71" s="44"/>
      <c r="AL71" s="51"/>
      <c r="AM71" s="51"/>
      <c r="AN71" s="51"/>
      <c r="AO71" s="44"/>
      <c r="AP71" s="44"/>
      <c r="AY71" s="46"/>
      <c r="AZ71" s="46"/>
      <c r="BA71" s="46"/>
      <c r="BB71" s="46"/>
      <c r="BC71" s="46"/>
      <c r="BD71" s="46"/>
      <c r="CH71"/>
      <c r="CI71"/>
      <c r="CJ71"/>
      <c r="CK71"/>
      <c r="CL71"/>
      <c r="CM71"/>
    </row>
    <row r="72" spans="1:91" ht="16">
      <c r="A72" s="172"/>
      <c r="B72" s="172"/>
      <c r="C72" s="172"/>
      <c r="D72" s="181"/>
      <c r="E72" s="169"/>
      <c r="F72" s="182"/>
      <c r="G72" s="172"/>
      <c r="H72" s="172"/>
      <c r="I72" s="172"/>
      <c r="J72" s="172"/>
      <c r="K72" s="168"/>
      <c r="L72" s="169"/>
      <c r="M72" s="172"/>
      <c r="N72" s="156">
        <f t="shared" si="2"/>
        <v>693.98717870610005</v>
      </c>
      <c r="O72" s="169">
        <f t="shared" si="3"/>
        <v>0</v>
      </c>
      <c r="P72" s="295">
        <f t="shared" si="1"/>
        <v>0</v>
      </c>
      <c r="Q72" s="290">
        <f t="shared" si="4"/>
        <v>0.01</v>
      </c>
      <c r="R72" s="291"/>
      <c r="S72" s="291"/>
      <c r="T72" s="157"/>
      <c r="U72" s="165"/>
      <c r="V72" s="166"/>
      <c r="W72" s="165"/>
      <c r="X72" s="166"/>
      <c r="Y72" s="157"/>
      <c r="Z72" s="157"/>
      <c r="AA72" s="167"/>
      <c r="AB72" s="161"/>
      <c r="AC72" s="161"/>
      <c r="AD72" s="157"/>
      <c r="AE72" s="157"/>
      <c r="AF72" s="159"/>
      <c r="AG72" s="158"/>
      <c r="AH72" s="44"/>
      <c r="AI72" s="44"/>
      <c r="AJ72" s="44"/>
      <c r="AK72" s="44"/>
      <c r="AL72" s="51"/>
      <c r="AM72" s="51"/>
      <c r="AN72" s="51"/>
      <c r="AO72" s="44"/>
      <c r="AP72" s="44"/>
      <c r="AY72" s="46"/>
      <c r="AZ72" s="46"/>
      <c r="BA72" s="46"/>
      <c r="BB72" s="46"/>
      <c r="BC72" s="46"/>
      <c r="BD72" s="46"/>
      <c r="CH72"/>
      <c r="CI72"/>
      <c r="CJ72"/>
      <c r="CK72"/>
      <c r="CL72"/>
      <c r="CM72"/>
    </row>
    <row r="73" spans="1:91" ht="16">
      <c r="A73" s="172"/>
      <c r="B73" s="172"/>
      <c r="C73" s="181"/>
      <c r="D73" s="172"/>
      <c r="E73" s="169"/>
      <c r="F73" s="172"/>
      <c r="G73" s="172"/>
      <c r="H73" s="172"/>
      <c r="I73" s="172"/>
      <c r="J73" s="172"/>
      <c r="K73" s="168"/>
      <c r="L73" s="169"/>
      <c r="M73" s="172"/>
      <c r="N73" s="156">
        <f t="shared" si="2"/>
        <v>253404.5749469843</v>
      </c>
      <c r="O73" s="169">
        <f t="shared" si="3"/>
        <v>0</v>
      </c>
      <c r="P73" s="295">
        <f t="shared" si="1"/>
        <v>0</v>
      </c>
      <c r="Q73" s="290">
        <f t="shared" si="4"/>
        <v>0.01</v>
      </c>
      <c r="R73" s="291"/>
      <c r="S73" s="291"/>
      <c r="T73" s="157"/>
      <c r="U73" s="165"/>
      <c r="V73" s="166"/>
      <c r="W73" s="165"/>
      <c r="X73" s="166"/>
      <c r="Y73" s="157"/>
      <c r="Z73" s="157"/>
      <c r="AA73" s="167"/>
      <c r="AB73" s="161"/>
      <c r="AC73" s="161"/>
      <c r="AD73" s="157"/>
      <c r="AE73" s="157"/>
      <c r="AF73" s="159"/>
      <c r="AG73" s="158"/>
      <c r="AH73" s="44"/>
      <c r="AI73" s="44"/>
      <c r="AJ73" s="44"/>
      <c r="AK73" s="44"/>
      <c r="AL73" s="51"/>
      <c r="AM73" s="51"/>
      <c r="AN73" s="51"/>
      <c r="AO73" s="44"/>
      <c r="AP73" s="44"/>
      <c r="AY73" s="46"/>
      <c r="AZ73" s="46"/>
      <c r="BA73" s="46"/>
      <c r="BB73" s="46"/>
      <c r="BC73" s="46"/>
      <c r="BD73" s="46"/>
      <c r="CH73"/>
      <c r="CI73"/>
      <c r="CJ73"/>
      <c r="CK73"/>
      <c r="CL73"/>
      <c r="CM73"/>
    </row>
    <row r="74" spans="1:91" ht="16">
      <c r="A74" s="172"/>
      <c r="B74" s="172"/>
      <c r="C74" s="172"/>
      <c r="D74" s="181"/>
      <c r="E74" s="169"/>
      <c r="F74" s="183"/>
      <c r="G74" s="183"/>
      <c r="H74" s="173"/>
      <c r="I74" s="172"/>
      <c r="J74" s="172"/>
      <c r="K74" s="168"/>
      <c r="L74" s="169"/>
      <c r="M74" s="172"/>
      <c r="N74" s="156">
        <f t="shared" si="2"/>
        <v>1500</v>
      </c>
      <c r="O74" s="169">
        <f t="shared" si="3"/>
        <v>0</v>
      </c>
      <c r="P74" s="295">
        <f t="shared" si="1"/>
        <v>0</v>
      </c>
      <c r="Q74" s="290">
        <f t="shared" si="4"/>
        <v>0.01</v>
      </c>
      <c r="R74" s="291"/>
      <c r="S74" s="291"/>
      <c r="T74" s="157"/>
      <c r="U74" s="165"/>
      <c r="V74" s="166"/>
      <c r="W74" s="165"/>
      <c r="X74" s="166"/>
      <c r="Y74" s="157"/>
      <c r="Z74" s="157"/>
      <c r="AA74" s="167"/>
      <c r="AB74" s="161"/>
      <c r="AC74" s="161"/>
      <c r="AD74" s="157"/>
      <c r="AE74" s="157"/>
      <c r="AF74" s="159"/>
      <c r="AG74" s="158"/>
      <c r="AH74" s="44"/>
      <c r="AI74" s="44"/>
      <c r="AJ74" s="44"/>
      <c r="AK74" s="44"/>
      <c r="AL74" s="51"/>
      <c r="AM74" s="51"/>
      <c r="AN74" s="51"/>
      <c r="AO74" s="44"/>
      <c r="AP74" s="44"/>
      <c r="AY74" s="46"/>
      <c r="AZ74" s="46"/>
      <c r="BA74" s="46"/>
      <c r="BB74" s="46"/>
      <c r="BC74" s="46"/>
      <c r="BD74" s="46"/>
      <c r="CH74"/>
      <c r="CI74"/>
      <c r="CJ74"/>
      <c r="CK74"/>
      <c r="CL74"/>
      <c r="CM74"/>
    </row>
    <row r="75" spans="1:91" ht="16">
      <c r="A75" s="172"/>
      <c r="B75" s="172"/>
      <c r="C75" s="172"/>
      <c r="D75" s="172"/>
      <c r="E75" s="169"/>
      <c r="F75" s="172"/>
      <c r="G75" s="172"/>
      <c r="H75" s="172"/>
      <c r="I75" s="172"/>
      <c r="J75" s="172"/>
      <c r="K75" s="168"/>
      <c r="L75" s="169"/>
      <c r="M75" s="172"/>
      <c r="N75" s="156">
        <f t="shared" si="2"/>
        <v>43011</v>
      </c>
      <c r="O75" s="169">
        <f t="shared" si="3"/>
        <v>0</v>
      </c>
      <c r="P75" s="295">
        <f t="shared" si="1"/>
        <v>0</v>
      </c>
      <c r="Q75" s="290">
        <f t="shared" si="4"/>
        <v>0.01</v>
      </c>
      <c r="R75" s="291"/>
      <c r="S75" s="291"/>
      <c r="T75" s="157"/>
      <c r="U75" s="165"/>
      <c r="V75" s="166"/>
      <c r="W75" s="165"/>
      <c r="X75" s="166"/>
      <c r="Y75" s="157"/>
      <c r="Z75" s="157"/>
      <c r="AA75" s="167"/>
      <c r="AB75" s="161"/>
      <c r="AC75" s="161"/>
      <c r="AD75" s="157"/>
      <c r="AE75" s="157"/>
      <c r="AF75" s="159"/>
      <c r="AG75" s="158"/>
      <c r="AH75" s="44"/>
      <c r="AI75" s="44"/>
      <c r="AJ75" s="44"/>
      <c r="AK75" s="44"/>
      <c r="AL75" s="51"/>
      <c r="AM75" s="51"/>
      <c r="AN75" s="51"/>
      <c r="AO75" s="44"/>
      <c r="AP75" s="44"/>
      <c r="AY75" s="46"/>
      <c r="AZ75" s="46"/>
      <c r="BA75" s="46"/>
      <c r="BB75" s="46"/>
      <c r="BC75" s="46"/>
      <c r="BD75" s="46"/>
      <c r="CH75"/>
      <c r="CI75"/>
      <c r="CJ75"/>
      <c r="CK75"/>
      <c r="CL75"/>
      <c r="CM75"/>
    </row>
    <row r="76" spans="1:91" ht="16">
      <c r="A76" s="172"/>
      <c r="B76" s="172"/>
      <c r="C76" s="172"/>
      <c r="D76" s="172"/>
      <c r="E76" s="169"/>
      <c r="F76" s="172"/>
      <c r="G76" s="172"/>
      <c r="H76" s="172"/>
      <c r="I76" s="172"/>
      <c r="J76" s="172"/>
      <c r="K76" s="168"/>
      <c r="L76" s="169"/>
      <c r="M76" s="172"/>
      <c r="N76" s="156">
        <f t="shared" si="2"/>
        <v>208893.5749469843</v>
      </c>
      <c r="O76" s="169">
        <f t="shared" si="3"/>
        <v>0</v>
      </c>
      <c r="P76" s="295">
        <f t="shared" si="1"/>
        <v>0</v>
      </c>
      <c r="Q76" s="290">
        <f t="shared" si="4"/>
        <v>0.01</v>
      </c>
      <c r="R76" s="291"/>
      <c r="S76" s="291"/>
      <c r="T76" s="157"/>
      <c r="U76" s="165"/>
      <c r="V76" s="166"/>
      <c r="W76" s="165"/>
      <c r="X76" s="166"/>
      <c r="Y76" s="157"/>
      <c r="Z76" s="157"/>
      <c r="AA76" s="167"/>
      <c r="AB76" s="161"/>
      <c r="AC76" s="161"/>
      <c r="AD76" s="157"/>
      <c r="AE76" s="157"/>
      <c r="AF76" s="159"/>
      <c r="AG76" s="158"/>
      <c r="AH76" s="44"/>
      <c r="AI76" s="44"/>
      <c r="AJ76" s="44"/>
      <c r="AK76" s="44"/>
      <c r="AL76" s="51"/>
      <c r="AM76" s="51"/>
      <c r="AN76" s="51"/>
      <c r="AO76" s="44"/>
      <c r="AP76" s="44"/>
      <c r="AY76" s="46"/>
      <c r="AZ76" s="46"/>
      <c r="BA76" s="46"/>
      <c r="BB76" s="46"/>
      <c r="BC76" s="46"/>
      <c r="BD76" s="46"/>
      <c r="CH76"/>
      <c r="CI76"/>
      <c r="CJ76"/>
      <c r="CK76"/>
      <c r="CL76"/>
      <c r="CM76"/>
    </row>
    <row r="77" spans="1:91" ht="16">
      <c r="A77" s="172"/>
      <c r="B77" s="172"/>
      <c r="C77" s="172"/>
      <c r="D77" s="181"/>
      <c r="E77" s="169"/>
      <c r="F77" s="182"/>
      <c r="G77" s="172"/>
      <c r="H77" s="172"/>
      <c r="I77" s="172"/>
      <c r="J77" s="172"/>
      <c r="K77" s="168"/>
      <c r="L77" s="169"/>
      <c r="M77" s="172"/>
      <c r="N77" s="156">
        <f t="shared" si="2"/>
        <v>-870</v>
      </c>
      <c r="O77" s="169">
        <f t="shared" si="3"/>
        <v>0</v>
      </c>
      <c r="P77" s="295">
        <f t="shared" si="1"/>
        <v>0</v>
      </c>
      <c r="Q77" s="290">
        <f t="shared" si="4"/>
        <v>0.01</v>
      </c>
      <c r="R77" s="291"/>
      <c r="S77" s="291"/>
      <c r="T77" s="157"/>
      <c r="U77" s="165"/>
      <c r="V77" s="166"/>
      <c r="W77" s="165"/>
      <c r="X77" s="166"/>
      <c r="Y77" s="157"/>
      <c r="Z77" s="157"/>
      <c r="AA77" s="167"/>
      <c r="AB77" s="161"/>
      <c r="AC77" s="161"/>
      <c r="AD77" s="157"/>
      <c r="AE77" s="157"/>
      <c r="AF77" s="159"/>
      <c r="AG77" s="158"/>
      <c r="AH77" s="44"/>
      <c r="AI77" s="44"/>
      <c r="AJ77" s="44"/>
      <c r="AK77" s="44"/>
      <c r="AL77" s="51"/>
      <c r="AM77" s="51"/>
      <c r="AN77" s="51"/>
      <c r="AO77" s="44"/>
      <c r="AP77" s="44"/>
      <c r="AY77" s="46"/>
      <c r="AZ77" s="46"/>
      <c r="BA77" s="46"/>
      <c r="BB77" s="46"/>
      <c r="BC77" s="46"/>
      <c r="BD77" s="46"/>
      <c r="CH77"/>
      <c r="CI77"/>
      <c r="CJ77"/>
      <c r="CK77"/>
      <c r="CL77"/>
      <c r="CM77"/>
    </row>
    <row r="78" spans="1:91" ht="16">
      <c r="A78" s="172"/>
      <c r="B78" s="172"/>
      <c r="C78" s="172"/>
      <c r="D78" s="172"/>
      <c r="E78" s="169"/>
      <c r="F78" s="172"/>
      <c r="G78" s="172"/>
      <c r="H78" s="172"/>
      <c r="I78" s="172"/>
      <c r="J78" s="172"/>
      <c r="K78" s="168"/>
      <c r="L78" s="169"/>
      <c r="M78" s="172"/>
      <c r="N78" s="156">
        <f t="shared" si="2"/>
        <v>0</v>
      </c>
      <c r="O78" s="169">
        <f t="shared" si="3"/>
        <v>0</v>
      </c>
      <c r="P78" s="295">
        <f t="shared" si="1"/>
        <v>0</v>
      </c>
      <c r="Q78" s="290">
        <f t="shared" si="4"/>
        <v>0.01</v>
      </c>
      <c r="R78" s="291"/>
      <c r="S78" s="291"/>
      <c r="T78" s="157"/>
      <c r="U78" s="165"/>
      <c r="V78" s="166"/>
      <c r="W78" s="165"/>
      <c r="X78" s="166"/>
      <c r="Y78" s="157"/>
      <c r="Z78" s="157"/>
      <c r="AA78" s="167"/>
      <c r="AB78" s="161"/>
      <c r="AC78" s="161"/>
      <c r="AD78" s="157"/>
      <c r="AE78" s="157"/>
      <c r="AF78" s="159"/>
      <c r="AG78" s="158"/>
      <c r="AH78" s="44"/>
      <c r="AI78" s="44"/>
      <c r="AJ78" s="44"/>
      <c r="AK78" s="44"/>
      <c r="AL78" s="51"/>
      <c r="AM78" s="51"/>
      <c r="AN78" s="51"/>
      <c r="AO78" s="44"/>
      <c r="AP78" s="44"/>
      <c r="AY78" s="46"/>
      <c r="AZ78" s="46"/>
      <c r="BA78" s="46"/>
      <c r="BB78" s="46"/>
      <c r="BC78" s="46"/>
      <c r="BD78" s="46"/>
      <c r="CH78"/>
      <c r="CI78"/>
      <c r="CJ78"/>
      <c r="CK78"/>
      <c r="CL78"/>
      <c r="CM78"/>
    </row>
    <row r="79" spans="1:91" ht="16">
      <c r="A79" s="172"/>
      <c r="B79" s="172"/>
      <c r="C79" s="172"/>
      <c r="D79" s="172"/>
      <c r="E79" s="169"/>
      <c r="F79" s="172"/>
      <c r="G79" s="172"/>
      <c r="H79" s="172"/>
      <c r="I79" s="172"/>
      <c r="J79" s="172"/>
      <c r="K79" s="168"/>
      <c r="L79" s="169"/>
      <c r="M79" s="172"/>
      <c r="N79" s="156">
        <f t="shared" si="2"/>
        <v>209763.5749469843</v>
      </c>
      <c r="O79" s="169">
        <f t="shared" si="3"/>
        <v>0</v>
      </c>
      <c r="P79" s="295">
        <f t="shared" si="1"/>
        <v>0</v>
      </c>
      <c r="Q79" s="290">
        <f t="shared" si="4"/>
        <v>0.01</v>
      </c>
      <c r="R79" s="291"/>
      <c r="S79" s="291"/>
      <c r="T79" s="157"/>
      <c r="U79" s="165"/>
      <c r="V79" s="166"/>
      <c r="W79" s="165"/>
      <c r="X79" s="166"/>
      <c r="Y79" s="157"/>
      <c r="Z79" s="157"/>
      <c r="AA79" s="167"/>
      <c r="AB79" s="161"/>
      <c r="AC79" s="161"/>
      <c r="AD79" s="157"/>
      <c r="AE79" s="157"/>
      <c r="AF79" s="159"/>
      <c r="AG79" s="158"/>
      <c r="AH79" s="44"/>
      <c r="AI79" s="44"/>
      <c r="AJ79" s="44"/>
      <c r="AK79" s="44"/>
      <c r="AL79" s="51"/>
      <c r="AM79" s="51"/>
      <c r="AN79" s="51"/>
      <c r="AO79" s="44"/>
      <c r="AP79" s="44"/>
      <c r="AY79" s="46"/>
      <c r="AZ79" s="46"/>
      <c r="BA79" s="46"/>
      <c r="BB79" s="46"/>
      <c r="BC79" s="46"/>
      <c r="BD79" s="46"/>
      <c r="CH79"/>
      <c r="CI79"/>
      <c r="CJ79"/>
      <c r="CK79"/>
      <c r="CL79"/>
      <c r="CM79"/>
    </row>
    <row r="80" spans="1:91" ht="16">
      <c r="A80" s="172"/>
      <c r="B80" s="172"/>
      <c r="C80" s="172"/>
      <c r="D80" s="172"/>
      <c r="E80" s="169"/>
      <c r="F80" s="181"/>
      <c r="G80" s="181"/>
      <c r="H80" s="172"/>
      <c r="I80" s="172"/>
      <c r="J80" s="172"/>
      <c r="K80" s="168"/>
      <c r="L80" s="169"/>
      <c r="M80" s="172"/>
      <c r="N80" s="156">
        <f t="shared" si="2"/>
        <v>84629.508799999996</v>
      </c>
      <c r="O80" s="169">
        <f t="shared" si="3"/>
        <v>0</v>
      </c>
      <c r="P80" s="295">
        <f t="shared" si="1"/>
        <v>0</v>
      </c>
      <c r="Q80" s="290">
        <f t="shared" si="4"/>
        <v>0.01</v>
      </c>
      <c r="R80" s="291"/>
      <c r="S80" s="291"/>
      <c r="T80" s="157"/>
      <c r="U80" s="165"/>
      <c r="V80" s="166"/>
      <c r="W80" s="165"/>
      <c r="X80" s="166"/>
      <c r="Y80" s="157"/>
      <c r="Z80" s="157"/>
      <c r="AA80" s="167"/>
      <c r="AB80" s="161"/>
      <c r="AC80" s="161"/>
      <c r="AD80" s="157"/>
      <c r="AE80" s="157"/>
      <c r="AF80" s="159"/>
      <c r="AG80" s="158"/>
      <c r="AH80" s="44"/>
      <c r="AI80" s="44"/>
      <c r="AJ80" s="44"/>
      <c r="AK80" s="44"/>
      <c r="AL80" s="51"/>
      <c r="AM80" s="51"/>
      <c r="AN80" s="51"/>
      <c r="AO80" s="44"/>
      <c r="AP80" s="44"/>
      <c r="AY80" s="46"/>
      <c r="AZ80" s="46"/>
      <c r="BA80" s="46"/>
      <c r="BB80" s="46"/>
      <c r="BC80" s="46"/>
      <c r="BD80" s="46"/>
      <c r="CH80"/>
      <c r="CI80"/>
      <c r="CJ80"/>
      <c r="CK80"/>
      <c r="CL80"/>
      <c r="CM80"/>
    </row>
    <row r="81" spans="1:91" ht="16">
      <c r="A81" s="172"/>
      <c r="B81" s="172"/>
      <c r="C81" s="172"/>
      <c r="D81" s="172"/>
      <c r="E81" s="169"/>
      <c r="F81" s="172"/>
      <c r="G81" s="172"/>
      <c r="H81" s="172"/>
      <c r="I81" s="172"/>
      <c r="J81" s="172"/>
      <c r="K81" s="168"/>
      <c r="L81" s="169"/>
      <c r="M81" s="172"/>
      <c r="N81" s="156">
        <f t="shared" si="2"/>
        <v>125134.0661469843</v>
      </c>
      <c r="O81" s="169">
        <f t="shared" si="3"/>
        <v>0</v>
      </c>
      <c r="P81" s="295">
        <f t="shared" si="1"/>
        <v>0</v>
      </c>
      <c r="Q81" s="290">
        <f t="shared" si="4"/>
        <v>0.01</v>
      </c>
      <c r="R81" s="291"/>
      <c r="S81" s="291"/>
      <c r="T81" s="157"/>
      <c r="U81" s="165"/>
      <c r="V81" s="166"/>
      <c r="W81" s="165"/>
      <c r="X81" s="166"/>
      <c r="Y81" s="157"/>
      <c r="Z81" s="157"/>
      <c r="AA81" s="167"/>
      <c r="AB81" s="161"/>
      <c r="AC81" s="161"/>
      <c r="AD81" s="157"/>
      <c r="AE81" s="157"/>
      <c r="AF81" s="159"/>
      <c r="AG81" s="158"/>
      <c r="AH81" s="44"/>
      <c r="AI81" s="44"/>
      <c r="AJ81" s="44"/>
      <c r="AK81" s="44"/>
      <c r="AL81" s="51"/>
      <c r="AM81" s="51"/>
      <c r="AN81" s="51"/>
      <c r="AO81" s="44"/>
      <c r="AP81" s="44"/>
      <c r="AY81" s="46"/>
      <c r="AZ81" s="46"/>
      <c r="BA81" s="46"/>
      <c r="BB81" s="46"/>
      <c r="BC81" s="46"/>
      <c r="BD81" s="46"/>
      <c r="CH81"/>
      <c r="CI81"/>
      <c r="CJ81"/>
      <c r="CK81"/>
      <c r="CL81"/>
      <c r="CM81"/>
    </row>
    <row r="82" spans="1:91" ht="16">
      <c r="A82" s="172"/>
      <c r="B82" s="172"/>
      <c r="C82" s="172"/>
      <c r="D82" s="181"/>
      <c r="E82" s="169"/>
      <c r="F82" s="172"/>
      <c r="G82" s="172"/>
      <c r="H82" s="172"/>
      <c r="I82" s="172"/>
      <c r="J82" s="172"/>
      <c r="K82" s="168"/>
      <c r="L82" s="169"/>
      <c r="M82" s="172"/>
      <c r="N82" s="156">
        <f t="shared" si="2"/>
        <v>0</v>
      </c>
      <c r="O82" s="169">
        <f t="shared" si="3"/>
        <v>0</v>
      </c>
      <c r="P82" s="295">
        <f t="shared" si="1"/>
        <v>0</v>
      </c>
      <c r="Q82" s="290">
        <f t="shared" si="4"/>
        <v>0.01</v>
      </c>
      <c r="R82" s="291"/>
      <c r="S82" s="291"/>
      <c r="T82" s="157"/>
      <c r="U82" s="165"/>
      <c r="V82" s="166"/>
      <c r="W82" s="165"/>
      <c r="X82" s="166"/>
      <c r="Y82" s="157"/>
      <c r="Z82" s="157"/>
      <c r="AA82" s="167"/>
      <c r="AB82" s="161"/>
      <c r="AC82" s="161"/>
      <c r="AD82" s="157"/>
      <c r="AE82" s="157"/>
      <c r="AF82" s="159"/>
      <c r="AG82" s="158"/>
      <c r="AH82" s="44"/>
      <c r="AI82" s="44"/>
      <c r="AJ82" s="44"/>
      <c r="AK82" s="44"/>
      <c r="AL82" s="51"/>
      <c r="AM82" s="51"/>
      <c r="AN82" s="51"/>
      <c r="AO82" s="44"/>
      <c r="AP82" s="44"/>
      <c r="AY82" s="46"/>
      <c r="AZ82" s="46"/>
      <c r="BA82" s="46"/>
      <c r="BB82" s="46"/>
      <c r="BC82" s="46"/>
      <c r="BD82" s="46"/>
      <c r="CH82"/>
      <c r="CI82"/>
      <c r="CJ82"/>
      <c r="CK82"/>
      <c r="CL82"/>
      <c r="CM82"/>
    </row>
    <row r="83" spans="1:91" ht="16">
      <c r="A83" s="172"/>
      <c r="B83" s="172"/>
      <c r="C83" s="172"/>
      <c r="D83" s="172"/>
      <c r="E83" s="169"/>
      <c r="F83" s="172"/>
      <c r="G83" s="172"/>
      <c r="H83" s="172"/>
      <c r="I83" s="172"/>
      <c r="J83" s="172"/>
      <c r="K83" s="168"/>
      <c r="L83" s="169"/>
      <c r="M83" s="172"/>
      <c r="N83" s="156">
        <f t="shared" si="2"/>
        <v>1151.136</v>
      </c>
      <c r="O83" s="169">
        <f t="shared" si="3"/>
        <v>0</v>
      </c>
      <c r="P83" s="295">
        <f t="shared" si="1"/>
        <v>0</v>
      </c>
      <c r="Q83" s="290">
        <f t="shared" si="4"/>
        <v>0.01</v>
      </c>
      <c r="R83" s="291"/>
      <c r="S83" s="291"/>
      <c r="T83" s="157"/>
      <c r="U83" s="165"/>
      <c r="V83" s="166"/>
      <c r="W83" s="165"/>
      <c r="X83" s="166"/>
      <c r="Y83" s="157"/>
      <c r="Z83" s="157"/>
      <c r="AA83" s="167"/>
      <c r="AB83" s="161"/>
      <c r="AC83" s="161"/>
      <c r="AD83" s="157"/>
      <c r="AE83" s="157"/>
      <c r="AF83" s="159"/>
      <c r="AG83" s="158"/>
      <c r="AH83" s="44"/>
      <c r="AI83" s="44"/>
      <c r="AJ83" s="44"/>
      <c r="AK83" s="44"/>
      <c r="AL83" s="51"/>
      <c r="AM83" s="51"/>
      <c r="AN83" s="51"/>
      <c r="AO83" s="44"/>
      <c r="AP83" s="44"/>
      <c r="AY83" s="46"/>
      <c r="AZ83" s="46"/>
      <c r="BA83" s="46"/>
      <c r="BB83" s="46"/>
      <c r="BC83" s="46"/>
      <c r="BD83" s="46"/>
      <c r="CH83"/>
      <c r="CI83"/>
      <c r="CJ83"/>
      <c r="CK83"/>
      <c r="CL83"/>
      <c r="CM83"/>
    </row>
    <row r="84" spans="1:91" ht="16">
      <c r="A84" s="172"/>
      <c r="B84" s="172"/>
      <c r="C84" s="172"/>
      <c r="D84" s="181"/>
      <c r="E84" s="169"/>
      <c r="F84" s="182"/>
      <c r="G84" s="182"/>
      <c r="H84" s="172"/>
      <c r="I84" s="172"/>
      <c r="J84" s="172"/>
      <c r="K84" s="168"/>
      <c r="L84" s="169"/>
      <c r="M84" s="172"/>
      <c r="N84" s="156">
        <f t="shared" si="2"/>
        <v>0</v>
      </c>
      <c r="O84" s="169">
        <f t="shared" si="3"/>
        <v>0</v>
      </c>
      <c r="P84" s="295">
        <f t="shared" si="1"/>
        <v>0</v>
      </c>
      <c r="Q84" s="290">
        <f t="shared" si="4"/>
        <v>0.01</v>
      </c>
      <c r="R84" s="291"/>
      <c r="S84" s="291"/>
      <c r="T84" s="157"/>
      <c r="U84" s="165"/>
      <c r="V84" s="166"/>
      <c r="W84" s="165"/>
      <c r="X84" s="166"/>
      <c r="Y84" s="157"/>
      <c r="Z84" s="157"/>
      <c r="AA84" s="167"/>
      <c r="AB84" s="161"/>
      <c r="AC84" s="161"/>
      <c r="AD84" s="157"/>
      <c r="AE84" s="157"/>
      <c r="AF84" s="159"/>
      <c r="AG84" s="158"/>
      <c r="AH84" s="44"/>
      <c r="AI84" s="44"/>
      <c r="AJ84" s="44"/>
      <c r="AK84" s="44"/>
      <c r="AL84" s="51"/>
      <c r="AM84" s="51"/>
      <c r="AN84" s="51"/>
      <c r="AO84" s="44"/>
      <c r="AP84" s="44"/>
      <c r="AY84" s="46"/>
      <c r="AZ84" s="46"/>
      <c r="BA84" s="46"/>
      <c r="BB84" s="46"/>
      <c r="BC84" s="46"/>
      <c r="BD84" s="46"/>
      <c r="CH84"/>
      <c r="CI84"/>
      <c r="CJ84"/>
      <c r="CK84"/>
      <c r="CL84"/>
      <c r="CM84"/>
    </row>
    <row r="85" spans="1:91" ht="16">
      <c r="A85" s="172"/>
      <c r="B85" s="172"/>
      <c r="C85" s="172"/>
      <c r="D85" s="172"/>
      <c r="E85" s="169"/>
      <c r="F85" s="172"/>
      <c r="G85" s="172"/>
      <c r="H85" s="172"/>
      <c r="I85" s="172"/>
      <c r="J85" s="172"/>
      <c r="K85" s="168"/>
      <c r="L85" s="169"/>
      <c r="M85" s="172"/>
      <c r="N85" s="156">
        <f t="shared" si="2"/>
        <v>0</v>
      </c>
      <c r="O85" s="169">
        <f t="shared" si="3"/>
        <v>0</v>
      </c>
      <c r="P85" s="295">
        <f t="shared" si="1"/>
        <v>0</v>
      </c>
      <c r="Q85" s="290">
        <f t="shared" si="4"/>
        <v>0.01</v>
      </c>
      <c r="R85" s="291"/>
      <c r="S85" s="291"/>
      <c r="T85" s="157"/>
      <c r="U85" s="165"/>
      <c r="V85" s="166"/>
      <c r="W85" s="165"/>
      <c r="X85" s="166"/>
      <c r="Y85" s="157"/>
      <c r="Z85" s="157"/>
      <c r="AA85" s="167"/>
      <c r="AB85" s="161"/>
      <c r="AC85" s="161"/>
      <c r="AD85" s="157"/>
      <c r="AE85" s="157"/>
      <c r="AF85" s="159"/>
      <c r="AG85" s="158"/>
      <c r="AH85" s="44"/>
      <c r="AI85" s="44"/>
      <c r="AJ85" s="44"/>
      <c r="AK85" s="44"/>
      <c r="AL85" s="51"/>
      <c r="AM85" s="51"/>
      <c r="AN85" s="51"/>
      <c r="AO85" s="44"/>
      <c r="AP85" s="44"/>
      <c r="AY85" s="46"/>
      <c r="AZ85" s="46"/>
      <c r="BA85" s="46"/>
      <c r="BB85" s="46"/>
      <c r="BC85" s="46"/>
      <c r="BD85" s="46"/>
      <c r="CH85"/>
      <c r="CI85"/>
      <c r="CJ85"/>
      <c r="CK85"/>
      <c r="CL85"/>
      <c r="CM85"/>
    </row>
    <row r="86" spans="1:91" ht="16">
      <c r="A86" s="172"/>
      <c r="B86" s="172"/>
      <c r="C86" s="172"/>
      <c r="D86" s="172"/>
      <c r="E86" s="169"/>
      <c r="F86" s="172"/>
      <c r="G86" s="172"/>
      <c r="H86" s="172"/>
      <c r="I86" s="172"/>
      <c r="J86" s="172"/>
      <c r="K86" s="168"/>
      <c r="L86" s="169"/>
      <c r="M86" s="172"/>
      <c r="N86" s="156">
        <f t="shared" si="2"/>
        <v>1151.136</v>
      </c>
      <c r="O86" s="169">
        <f t="shared" si="3"/>
        <v>0</v>
      </c>
      <c r="P86" s="295">
        <f t="shared" si="1"/>
        <v>0</v>
      </c>
      <c r="Q86" s="290">
        <f t="shared" si="4"/>
        <v>0.01</v>
      </c>
      <c r="R86" s="291"/>
      <c r="S86" s="291"/>
      <c r="T86" s="157"/>
      <c r="U86" s="165"/>
      <c r="V86" s="166"/>
      <c r="W86" s="165"/>
      <c r="X86" s="166"/>
      <c r="Y86" s="157"/>
      <c r="Z86" s="157"/>
      <c r="AA86" s="167"/>
      <c r="AB86" s="161"/>
      <c r="AC86" s="161"/>
      <c r="AD86" s="157"/>
      <c r="AE86" s="157"/>
      <c r="AF86" s="159"/>
      <c r="AG86" s="158"/>
      <c r="AH86" s="44"/>
      <c r="AI86" s="44"/>
      <c r="AJ86" s="44"/>
      <c r="AK86" s="44"/>
      <c r="AL86" s="51"/>
      <c r="AM86" s="51"/>
      <c r="AN86" s="51"/>
      <c r="AO86" s="44"/>
      <c r="AP86" s="44"/>
      <c r="AY86" s="46"/>
      <c r="AZ86" s="46"/>
      <c r="BA86" s="46"/>
      <c r="BB86" s="46"/>
      <c r="BC86" s="46"/>
      <c r="BD86" s="46"/>
      <c r="CH86"/>
      <c r="CI86"/>
      <c r="CJ86"/>
      <c r="CK86"/>
      <c r="CL86"/>
      <c r="CM86"/>
    </row>
    <row r="87" spans="1:91" ht="16">
      <c r="A87" s="172"/>
      <c r="B87" s="172"/>
      <c r="C87" s="172"/>
      <c r="D87" s="172"/>
      <c r="E87" s="169"/>
      <c r="F87" s="172"/>
      <c r="G87" s="172"/>
      <c r="H87" s="172"/>
      <c r="I87" s="172"/>
      <c r="J87" s="172"/>
      <c r="K87" s="168"/>
      <c r="L87" s="169"/>
      <c r="M87" s="181"/>
      <c r="N87" s="156">
        <f t="shared" si="2"/>
        <v>83478.372799999997</v>
      </c>
      <c r="O87" s="169">
        <f t="shared" si="3"/>
        <v>0</v>
      </c>
      <c r="P87" s="295">
        <f t="shared" si="1"/>
        <v>0</v>
      </c>
      <c r="Q87" s="290">
        <f t="shared" si="4"/>
        <v>0.01</v>
      </c>
      <c r="R87" s="291"/>
      <c r="S87" s="291"/>
      <c r="T87" s="157"/>
      <c r="U87" s="165"/>
      <c r="V87" s="166"/>
      <c r="W87" s="165"/>
      <c r="X87" s="166"/>
      <c r="Y87" s="157"/>
      <c r="Z87" s="157"/>
      <c r="AA87" s="167"/>
      <c r="AB87" s="161"/>
      <c r="AC87" s="161"/>
      <c r="AD87" s="157"/>
      <c r="AE87" s="157"/>
      <c r="AF87" s="159"/>
      <c r="AG87" s="158"/>
      <c r="AH87" s="44"/>
      <c r="AI87" s="44"/>
      <c r="AJ87" s="44"/>
      <c r="AK87" s="44"/>
      <c r="AL87" s="51"/>
      <c r="AM87" s="51"/>
      <c r="AN87" s="51"/>
      <c r="AO87" s="44"/>
      <c r="AP87" s="44"/>
      <c r="AY87" s="46"/>
      <c r="AZ87" s="46"/>
      <c r="BA87" s="46"/>
      <c r="BB87" s="46"/>
      <c r="BC87" s="46"/>
      <c r="BD87" s="46"/>
      <c r="CH87"/>
      <c r="CI87"/>
      <c r="CJ87"/>
      <c r="CK87"/>
      <c r="CL87"/>
      <c r="CM87"/>
    </row>
    <row r="88" spans="1:91" ht="16">
      <c r="A88" s="172"/>
      <c r="B88" s="172"/>
      <c r="C88" s="172"/>
      <c r="D88" s="181"/>
      <c r="E88" s="169"/>
      <c r="F88" s="182"/>
      <c r="G88" s="182"/>
      <c r="H88" s="172"/>
      <c r="I88" s="172"/>
      <c r="J88" s="172"/>
      <c r="K88" s="168"/>
      <c r="L88" s="169"/>
      <c r="M88" s="172"/>
      <c r="N88" s="156">
        <f t="shared" si="2"/>
        <v>87216.858032629694</v>
      </c>
      <c r="O88" s="169">
        <f t="shared" si="3"/>
        <v>0</v>
      </c>
      <c r="P88" s="295">
        <f t="shared" si="1"/>
        <v>0</v>
      </c>
      <c r="Q88" s="290">
        <f t="shared" si="4"/>
        <v>0.01</v>
      </c>
      <c r="R88" s="291"/>
      <c r="S88" s="291"/>
      <c r="T88" s="157"/>
      <c r="U88" s="165"/>
      <c r="V88" s="166"/>
      <c r="W88" s="165"/>
      <c r="X88" s="166"/>
      <c r="Y88" s="157"/>
      <c r="Z88" s="157"/>
      <c r="AA88" s="167"/>
      <c r="AB88" s="161"/>
      <c r="AC88" s="161"/>
      <c r="AD88" s="157"/>
      <c r="AE88" s="157"/>
      <c r="AF88" s="158"/>
      <c r="AG88" s="158"/>
      <c r="AH88" s="44"/>
      <c r="AI88" s="44"/>
      <c r="AJ88" s="44"/>
      <c r="AK88" s="44"/>
      <c r="AL88" s="51"/>
      <c r="AM88" s="51"/>
      <c r="AN88" s="51"/>
      <c r="AO88" s="44"/>
      <c r="AP88" s="44"/>
      <c r="AY88" s="46"/>
      <c r="AZ88" s="46"/>
      <c r="BA88" s="46"/>
      <c r="BB88" s="46"/>
      <c r="BC88" s="46"/>
      <c r="BD88" s="46"/>
      <c r="CH88"/>
      <c r="CI88"/>
      <c r="CJ88"/>
      <c r="CK88"/>
      <c r="CL88"/>
      <c r="CM88"/>
    </row>
    <row r="89" spans="1:91" ht="16">
      <c r="A89" s="172"/>
      <c r="B89" s="172"/>
      <c r="C89" s="172"/>
      <c r="D89" s="172"/>
      <c r="E89" s="169"/>
      <c r="F89" s="172"/>
      <c r="G89" s="172"/>
      <c r="H89" s="172"/>
      <c r="I89" s="172"/>
      <c r="J89" s="172"/>
      <c r="K89" s="168"/>
      <c r="L89" s="169"/>
      <c r="M89" s="172"/>
      <c r="N89" s="156">
        <f t="shared" si="2"/>
        <v>0</v>
      </c>
      <c r="O89" s="169">
        <f t="shared" si="3"/>
        <v>0</v>
      </c>
      <c r="P89" s="295">
        <f t="shared" si="1"/>
        <v>0</v>
      </c>
      <c r="Q89" s="290">
        <f t="shared" si="4"/>
        <v>0.01</v>
      </c>
      <c r="R89" s="291"/>
      <c r="S89" s="291"/>
      <c r="T89" s="157"/>
      <c r="U89" s="165"/>
      <c r="V89" s="166"/>
      <c r="W89" s="165"/>
      <c r="X89" s="166"/>
      <c r="Y89" s="157"/>
      <c r="Z89" s="157"/>
      <c r="AA89" s="167"/>
      <c r="AB89" s="161"/>
      <c r="AC89" s="161"/>
      <c r="AD89" s="157"/>
      <c r="AE89" s="157"/>
      <c r="AF89" s="158"/>
      <c r="AG89" s="158"/>
      <c r="AH89" s="44"/>
      <c r="AI89" s="44"/>
      <c r="AJ89" s="44"/>
      <c r="AK89" s="44"/>
      <c r="AL89" s="51"/>
      <c r="AM89" s="51"/>
      <c r="AN89" s="51"/>
      <c r="AO89" s="44"/>
      <c r="AP89" s="44"/>
      <c r="AY89" s="46"/>
      <c r="AZ89" s="46"/>
      <c r="BA89" s="46"/>
      <c r="BB89" s="46"/>
      <c r="BC89" s="46"/>
      <c r="BD89" s="46"/>
      <c r="CH89"/>
      <c r="CI89"/>
      <c r="CJ89"/>
      <c r="CK89"/>
      <c r="CL89"/>
      <c r="CM89"/>
    </row>
    <row r="90" spans="1:91" ht="16">
      <c r="A90" s="172"/>
      <c r="B90" s="172"/>
      <c r="C90" s="172"/>
      <c r="D90" s="172"/>
      <c r="E90" s="169"/>
      <c r="F90" s="172"/>
      <c r="G90" s="172"/>
      <c r="H90" s="172"/>
      <c r="I90" s="172"/>
      <c r="J90" s="172"/>
      <c r="K90" s="168"/>
      <c r="L90" s="169"/>
      <c r="M90" s="172"/>
      <c r="N90" s="156">
        <f t="shared" si="2"/>
        <v>7011</v>
      </c>
      <c r="O90" s="169">
        <f t="shared" si="3"/>
        <v>0</v>
      </c>
      <c r="P90" s="295">
        <f t="shared" si="1"/>
        <v>0</v>
      </c>
      <c r="Q90" s="290">
        <f t="shared" si="4"/>
        <v>0.01</v>
      </c>
      <c r="R90" s="291"/>
      <c r="S90" s="291"/>
      <c r="T90" s="157"/>
      <c r="U90" s="165"/>
      <c r="V90" s="166"/>
      <c r="W90" s="165"/>
      <c r="X90" s="166"/>
      <c r="Y90" s="157"/>
      <c r="Z90" s="157"/>
      <c r="AA90" s="167"/>
      <c r="AB90" s="161"/>
      <c r="AC90" s="161"/>
      <c r="AD90" s="157"/>
      <c r="AE90" s="157"/>
      <c r="AF90" s="158"/>
      <c r="AG90" s="158"/>
      <c r="AH90" s="44"/>
      <c r="AI90" s="44"/>
      <c r="AJ90" s="44"/>
      <c r="AK90" s="44"/>
      <c r="AL90" s="51"/>
      <c r="AM90" s="51"/>
      <c r="AN90" s="51"/>
      <c r="AO90" s="44"/>
      <c r="AP90" s="44"/>
      <c r="AY90" s="46"/>
      <c r="AZ90" s="46"/>
      <c r="BA90" s="46"/>
      <c r="BB90" s="46"/>
      <c r="BC90" s="46"/>
      <c r="BD90" s="46"/>
      <c r="CH90"/>
      <c r="CI90"/>
      <c r="CJ90"/>
      <c r="CK90"/>
      <c r="CL90"/>
      <c r="CM90"/>
    </row>
    <row r="91" spans="1:91" ht="16">
      <c r="A91" s="172"/>
      <c r="B91" s="172"/>
      <c r="C91" s="172"/>
      <c r="D91" s="172"/>
      <c r="E91" s="169"/>
      <c r="F91" s="181"/>
      <c r="G91" s="181"/>
      <c r="H91" s="181"/>
      <c r="I91" s="172"/>
      <c r="J91" s="172"/>
      <c r="K91" s="168"/>
      <c r="L91" s="169"/>
      <c r="M91" s="172"/>
      <c r="N91" s="156">
        <f t="shared" si="2"/>
        <v>132145.06614698429</v>
      </c>
      <c r="O91" s="169">
        <f t="shared" si="3"/>
        <v>0</v>
      </c>
      <c r="P91" s="295">
        <f t="shared" si="1"/>
        <v>0</v>
      </c>
      <c r="Q91" s="290">
        <f t="shared" si="4"/>
        <v>0.01</v>
      </c>
      <c r="R91" s="291"/>
      <c r="S91" s="291"/>
      <c r="T91" s="157"/>
      <c r="U91" s="165"/>
      <c r="V91" s="166"/>
      <c r="W91" s="165"/>
      <c r="X91" s="166"/>
      <c r="Y91" s="157"/>
      <c r="Z91" s="157"/>
      <c r="AA91" s="157"/>
      <c r="AB91" s="157"/>
      <c r="AC91" s="157"/>
      <c r="AD91" s="157"/>
      <c r="AE91" s="157"/>
      <c r="AF91" s="158"/>
      <c r="AG91" s="158"/>
      <c r="AH91" s="44"/>
      <c r="AI91" s="44"/>
      <c r="AJ91" s="44"/>
      <c r="AK91" s="44"/>
      <c r="AL91" s="51"/>
      <c r="AM91" s="51"/>
      <c r="AN91" s="51"/>
      <c r="AO91" s="44"/>
      <c r="AP91" s="44"/>
      <c r="AY91" s="46"/>
      <c r="AZ91" s="46"/>
      <c r="BA91" s="46"/>
      <c r="BB91" s="46"/>
      <c r="BC91" s="46"/>
      <c r="BD91" s="46"/>
      <c r="CH91"/>
      <c r="CI91"/>
      <c r="CJ91"/>
      <c r="CK91"/>
      <c r="CL91"/>
      <c r="CM91"/>
    </row>
    <row r="92" spans="1:91" ht="16">
      <c r="A92" s="172"/>
      <c r="B92" s="172"/>
      <c r="C92" s="172"/>
      <c r="D92" s="172"/>
      <c r="E92" s="169"/>
      <c r="F92" s="172"/>
      <c r="G92" s="172"/>
      <c r="H92" s="172"/>
      <c r="I92" s="172"/>
      <c r="J92" s="172"/>
      <c r="K92" s="168"/>
      <c r="L92" s="169"/>
      <c r="M92" s="172"/>
      <c r="N92" s="156">
        <f t="shared" si="2"/>
        <v>11983.055953228601</v>
      </c>
      <c r="O92" s="169">
        <f t="shared" si="3"/>
        <v>0</v>
      </c>
      <c r="P92" s="295">
        <f t="shared" si="1"/>
        <v>0</v>
      </c>
      <c r="Q92" s="290">
        <f t="shared" si="4"/>
        <v>0.01</v>
      </c>
      <c r="R92" s="291"/>
      <c r="S92" s="291"/>
      <c r="T92" s="157"/>
      <c r="U92" s="165"/>
      <c r="V92" s="166"/>
      <c r="W92" s="165"/>
      <c r="X92" s="166"/>
      <c r="Y92" s="157"/>
      <c r="Z92" s="157"/>
      <c r="AA92" s="157"/>
      <c r="AB92" s="157"/>
      <c r="AC92" s="161"/>
      <c r="AD92" s="165"/>
      <c r="AE92" s="157"/>
      <c r="AF92" s="158"/>
      <c r="AG92" s="158"/>
      <c r="AH92" s="44"/>
      <c r="AI92" s="44"/>
      <c r="AJ92" s="44"/>
      <c r="AK92" s="44"/>
      <c r="AL92" s="51"/>
      <c r="AM92" s="51"/>
      <c r="AN92" s="51"/>
      <c r="AO92" s="44"/>
      <c r="AP92" s="44"/>
      <c r="AY92" s="46"/>
      <c r="AZ92" s="46"/>
      <c r="BA92" s="46"/>
      <c r="BB92" s="46"/>
      <c r="BC92" s="46"/>
      <c r="BD92" s="46"/>
      <c r="CH92"/>
      <c r="CI92"/>
      <c r="CJ92"/>
      <c r="CK92"/>
      <c r="CL92"/>
      <c r="CM92"/>
    </row>
    <row r="93" spans="1:91" ht="21">
      <c r="A93" s="172"/>
      <c r="B93" s="172"/>
      <c r="C93" s="172"/>
      <c r="D93" s="181"/>
      <c r="E93" s="169"/>
      <c r="F93" s="182"/>
      <c r="G93" s="182"/>
      <c r="H93" s="172"/>
      <c r="I93" s="172"/>
      <c r="J93" s="172"/>
      <c r="K93" s="168"/>
      <c r="L93" s="169"/>
      <c r="M93" s="172"/>
      <c r="N93" s="156">
        <f t="shared" si="2"/>
        <v>13097.735953228599</v>
      </c>
      <c r="O93" s="169">
        <f t="shared" si="3"/>
        <v>0</v>
      </c>
      <c r="P93" s="295">
        <f t="shared" si="1"/>
        <v>0</v>
      </c>
      <c r="Q93" s="290">
        <f t="shared" si="4"/>
        <v>0.01</v>
      </c>
      <c r="R93" s="291"/>
      <c r="S93" s="291"/>
      <c r="T93" s="157"/>
      <c r="U93" s="165"/>
      <c r="V93" s="166"/>
      <c r="W93" s="165"/>
      <c r="X93" s="166"/>
      <c r="Y93" s="157"/>
      <c r="Z93" s="157"/>
      <c r="AA93" s="152"/>
      <c r="AB93" s="152"/>
      <c r="AC93" s="157"/>
      <c r="AD93" s="157"/>
      <c r="AE93" s="157"/>
      <c r="AF93" s="158"/>
      <c r="AG93" s="158"/>
      <c r="AH93" s="44"/>
      <c r="AI93" s="44"/>
      <c r="AJ93" s="44"/>
      <c r="AK93" s="44"/>
      <c r="AL93" s="51"/>
      <c r="AM93" s="51"/>
      <c r="AN93" s="51"/>
      <c r="AO93" s="44"/>
      <c r="AP93" s="44"/>
      <c r="AY93" s="46"/>
      <c r="AZ93" s="46"/>
      <c r="BA93" s="46"/>
      <c r="BB93" s="46"/>
      <c r="BC93" s="46"/>
      <c r="BD93" s="46"/>
      <c r="CH93"/>
      <c r="CI93"/>
      <c r="CJ93"/>
      <c r="CK93"/>
      <c r="CL93"/>
      <c r="CM93"/>
    </row>
    <row r="94" spans="1:91" ht="16">
      <c r="A94" s="172"/>
      <c r="B94" s="172"/>
      <c r="C94" s="172"/>
      <c r="D94" s="181"/>
      <c r="E94" s="169"/>
      <c r="F94" s="182"/>
      <c r="G94" s="182"/>
      <c r="H94" s="172"/>
      <c r="I94" s="172"/>
      <c r="J94" s="172"/>
      <c r="K94" s="168"/>
      <c r="L94" s="169"/>
      <c r="M94" s="172"/>
      <c r="N94" s="156">
        <f t="shared" si="2"/>
        <v>1189.3055953229</v>
      </c>
      <c r="O94" s="169">
        <f t="shared" si="3"/>
        <v>0</v>
      </c>
      <c r="P94" s="295">
        <f t="shared" si="1"/>
        <v>0</v>
      </c>
      <c r="Q94" s="290">
        <f t="shared" si="4"/>
        <v>0.01</v>
      </c>
      <c r="R94" s="291"/>
      <c r="S94" s="291"/>
      <c r="T94" s="157"/>
      <c r="U94" s="165"/>
      <c r="V94" s="166"/>
      <c r="W94" s="165"/>
      <c r="X94" s="166"/>
      <c r="Y94" s="157"/>
      <c r="Z94" s="157"/>
      <c r="AA94" s="157"/>
      <c r="AB94" s="157"/>
      <c r="AC94" s="157"/>
      <c r="AD94" s="157"/>
      <c r="AE94" s="157"/>
      <c r="AF94" s="158"/>
      <c r="AG94" s="158"/>
      <c r="AH94" s="44"/>
      <c r="AI94" s="44"/>
      <c r="AJ94" s="44"/>
      <c r="AK94" s="44"/>
      <c r="AL94" s="44"/>
      <c r="AM94" s="44"/>
      <c r="AN94" s="44"/>
      <c r="AO94" s="44"/>
      <c r="AP94" s="44"/>
      <c r="AY94" s="46"/>
      <c r="AZ94" s="46"/>
      <c r="BA94" s="46"/>
      <c r="BB94" s="46"/>
      <c r="BC94" s="46"/>
      <c r="BD94" s="46"/>
      <c r="CH94"/>
      <c r="CI94"/>
      <c r="CJ94"/>
      <c r="CK94"/>
      <c r="CL94"/>
      <c r="CM94"/>
    </row>
    <row r="95" spans="1:91" ht="16">
      <c r="A95" s="172"/>
      <c r="B95" s="172"/>
      <c r="C95" s="172"/>
      <c r="D95" s="181"/>
      <c r="E95" s="169"/>
      <c r="F95" s="182"/>
      <c r="G95" s="172"/>
      <c r="H95" s="172"/>
      <c r="I95" s="172"/>
      <c r="J95" s="172"/>
      <c r="K95" s="168"/>
      <c r="L95" s="169"/>
      <c r="M95" s="172"/>
      <c r="N95" s="156">
        <f t="shared" si="2"/>
        <v>1189.3055953229</v>
      </c>
      <c r="O95" s="169">
        <f t="shared" si="3"/>
        <v>0</v>
      </c>
      <c r="P95" s="295">
        <f t="shared" si="1"/>
        <v>0</v>
      </c>
      <c r="Q95" s="290">
        <f t="shared" si="4"/>
        <v>0.01</v>
      </c>
      <c r="R95" s="291"/>
      <c r="S95" s="291"/>
      <c r="T95" s="157"/>
      <c r="U95" s="165"/>
      <c r="V95" s="166"/>
      <c r="W95" s="165"/>
      <c r="X95" s="166"/>
      <c r="Y95" s="157"/>
      <c r="Z95" s="157"/>
      <c r="AA95" s="157"/>
      <c r="AB95" s="157"/>
      <c r="AC95" s="157"/>
      <c r="AD95" s="157"/>
      <c r="AE95" s="157"/>
      <c r="AF95" s="158"/>
      <c r="AG95" s="158"/>
      <c r="AH95" s="44"/>
      <c r="AI95" s="44"/>
      <c r="AJ95" s="44"/>
      <c r="AK95" s="44"/>
      <c r="AL95" s="44"/>
      <c r="AM95" s="44"/>
      <c r="AN95" s="44"/>
      <c r="AO95" s="44"/>
      <c r="AP95" s="44"/>
      <c r="AY95" s="46"/>
      <c r="AZ95" s="46"/>
      <c r="BA95" s="46"/>
      <c r="BB95" s="46"/>
      <c r="BC95" s="46"/>
      <c r="BD95" s="46"/>
      <c r="CH95"/>
      <c r="CI95"/>
      <c r="CJ95"/>
      <c r="CK95"/>
      <c r="CL95"/>
      <c r="CM95"/>
    </row>
    <row r="96" spans="1:91" ht="16">
      <c r="A96" s="172"/>
      <c r="B96" s="172"/>
      <c r="C96" s="172"/>
      <c r="D96" s="172"/>
      <c r="E96" s="169"/>
      <c r="F96" s="172"/>
      <c r="G96" s="172"/>
      <c r="H96" s="172"/>
      <c r="I96" s="172"/>
      <c r="J96" s="172"/>
      <c r="K96" s="168"/>
      <c r="L96" s="169"/>
      <c r="M96" s="172"/>
      <c r="N96" s="156">
        <f t="shared" si="2"/>
        <v>1000</v>
      </c>
      <c r="O96" s="169">
        <f t="shared" si="3"/>
        <v>0</v>
      </c>
      <c r="P96" s="295">
        <f t="shared" si="1"/>
        <v>0</v>
      </c>
      <c r="Q96" s="290">
        <f t="shared" si="4"/>
        <v>0.01</v>
      </c>
      <c r="R96" s="291"/>
      <c r="S96" s="291"/>
      <c r="T96" s="157"/>
      <c r="U96" s="165"/>
      <c r="V96" s="166"/>
      <c r="W96" s="165"/>
      <c r="X96" s="166"/>
      <c r="Y96" s="157"/>
      <c r="Z96" s="157"/>
      <c r="AA96" s="157"/>
      <c r="AB96" s="157"/>
      <c r="AC96" s="157"/>
      <c r="AD96" s="157"/>
      <c r="AE96" s="157"/>
      <c r="AF96" s="158"/>
      <c r="AG96" s="158"/>
      <c r="AH96" s="44"/>
      <c r="AI96" s="44"/>
      <c r="AJ96" s="44"/>
      <c r="AK96" s="44"/>
      <c r="AL96" s="44"/>
      <c r="AM96" s="44"/>
      <c r="AN96" s="44"/>
      <c r="AO96" s="44"/>
      <c r="AP96" s="44"/>
      <c r="AY96" s="46"/>
      <c r="AZ96" s="46"/>
      <c r="BA96" s="46"/>
      <c r="BB96" s="46"/>
      <c r="BC96" s="46"/>
      <c r="BD96" s="46"/>
      <c r="CH96"/>
      <c r="CI96"/>
      <c r="CJ96"/>
      <c r="CK96"/>
      <c r="CL96"/>
      <c r="CM96"/>
    </row>
    <row r="97" spans="1:91" ht="16">
      <c r="A97" s="172"/>
      <c r="B97" s="172"/>
      <c r="C97" s="172"/>
      <c r="D97" s="181"/>
      <c r="E97" s="169"/>
      <c r="F97" s="172"/>
      <c r="G97" s="172"/>
      <c r="H97" s="172"/>
      <c r="I97" s="172"/>
      <c r="J97" s="172"/>
      <c r="K97" s="168"/>
      <c r="L97" s="169"/>
      <c r="M97" s="172"/>
      <c r="N97" s="156">
        <f t="shared" si="2"/>
        <v>3287.8954015671002</v>
      </c>
      <c r="O97" s="169">
        <f t="shared" si="3"/>
        <v>0</v>
      </c>
      <c r="P97" s="295">
        <f t="shared" si="1"/>
        <v>0</v>
      </c>
      <c r="Q97" s="290">
        <f t="shared" si="4"/>
        <v>0.01</v>
      </c>
      <c r="R97" s="291"/>
      <c r="S97" s="291"/>
      <c r="T97" s="157"/>
      <c r="U97" s="165"/>
      <c r="V97" s="166"/>
      <c r="W97" s="165"/>
      <c r="X97" s="166"/>
      <c r="Y97" s="157"/>
      <c r="Z97" s="157"/>
      <c r="AA97" s="157"/>
      <c r="AB97" s="157"/>
      <c r="AC97" s="157"/>
      <c r="AD97" s="157"/>
      <c r="AE97" s="157"/>
      <c r="AF97" s="158"/>
      <c r="AG97" s="158"/>
      <c r="AH97" s="44"/>
      <c r="AI97" s="44"/>
      <c r="AJ97" s="44"/>
      <c r="AK97" s="44"/>
      <c r="AL97" s="44"/>
      <c r="AM97" s="44"/>
      <c r="AN97" s="44"/>
      <c r="AO97" s="44"/>
      <c r="AP97" s="44"/>
      <c r="AY97" s="46"/>
      <c r="AZ97" s="46"/>
      <c r="BA97" s="46"/>
      <c r="BB97" s="46"/>
      <c r="BC97" s="46"/>
      <c r="BD97" s="46"/>
      <c r="CH97"/>
      <c r="CI97"/>
      <c r="CJ97"/>
      <c r="CK97"/>
      <c r="CL97"/>
      <c r="CM97"/>
    </row>
    <row r="98" spans="1:91" ht="16">
      <c r="A98" s="172"/>
      <c r="B98" s="172"/>
      <c r="C98" s="172"/>
      <c r="D98" s="172"/>
      <c r="E98" s="169"/>
      <c r="F98" s="172"/>
      <c r="G98" s="172"/>
      <c r="H98" s="172"/>
      <c r="I98" s="172"/>
      <c r="J98" s="172"/>
      <c r="K98" s="168"/>
      <c r="L98" s="169"/>
      <c r="M98" s="172"/>
      <c r="N98" s="156">
        <f t="shared" si="2"/>
        <v>123260.6</v>
      </c>
      <c r="O98" s="169">
        <f t="shared" si="3"/>
        <v>0</v>
      </c>
      <c r="P98" s="295">
        <f t="shared" si="1"/>
        <v>0</v>
      </c>
      <c r="Q98" s="290">
        <f t="shared" si="4"/>
        <v>0.01</v>
      </c>
      <c r="R98" s="291"/>
      <c r="S98" s="291"/>
      <c r="T98" s="157"/>
      <c r="U98" s="165"/>
      <c r="V98" s="166"/>
      <c r="W98" s="165"/>
      <c r="X98" s="166"/>
      <c r="Y98" s="157"/>
      <c r="Z98" s="157"/>
      <c r="AA98" s="157"/>
      <c r="AB98" s="157"/>
      <c r="AC98" s="157"/>
      <c r="AD98" s="157"/>
      <c r="AE98" s="157"/>
      <c r="AF98" s="158"/>
      <c r="AG98" s="158"/>
      <c r="AH98" s="44"/>
      <c r="AI98" s="44"/>
      <c r="AJ98" s="44"/>
      <c r="AK98" s="44"/>
      <c r="AL98" s="44"/>
      <c r="AM98" s="44"/>
      <c r="AN98" s="44"/>
      <c r="AO98" s="44"/>
      <c r="AP98" s="44"/>
      <c r="AY98" s="46"/>
      <c r="AZ98" s="46"/>
      <c r="BA98" s="46"/>
      <c r="BB98" s="46"/>
      <c r="BC98" s="46"/>
      <c r="BD98" s="46"/>
      <c r="CH98"/>
      <c r="CI98"/>
      <c r="CJ98"/>
      <c r="CK98"/>
      <c r="CL98"/>
      <c r="CM98"/>
    </row>
    <row r="99" spans="1:91" ht="16">
      <c r="A99" s="172"/>
      <c r="B99" s="172"/>
      <c r="C99" s="172"/>
      <c r="D99" s="172"/>
      <c r="E99" s="169"/>
      <c r="F99" s="172"/>
      <c r="G99" s="172"/>
      <c r="H99" s="172"/>
      <c r="I99" s="172"/>
      <c r="J99" s="172"/>
      <c r="K99" s="168"/>
      <c r="L99" s="169"/>
      <c r="M99" s="172"/>
      <c r="N99" s="156">
        <f t="shared" si="2"/>
        <v>0</v>
      </c>
      <c r="O99" s="169">
        <f t="shared" si="3"/>
        <v>0</v>
      </c>
      <c r="P99" s="295">
        <f t="shared" ref="P99:P126" si="5">D33</f>
        <v>0</v>
      </c>
      <c r="Q99" s="290">
        <f t="shared" si="4"/>
        <v>0.01</v>
      </c>
      <c r="R99" s="291"/>
      <c r="S99" s="291"/>
      <c r="T99" s="157"/>
      <c r="U99" s="165"/>
      <c r="V99" s="166"/>
      <c r="W99" s="165"/>
      <c r="X99" s="166"/>
      <c r="Y99" s="157"/>
      <c r="Z99" s="157"/>
      <c r="AA99" s="157"/>
      <c r="AB99" s="157"/>
      <c r="AC99" s="157"/>
      <c r="AD99" s="157"/>
      <c r="AE99" s="157"/>
      <c r="AF99" s="158"/>
      <c r="AG99" s="158"/>
      <c r="AH99" s="44"/>
      <c r="AI99" s="44"/>
      <c r="AJ99" s="44"/>
      <c r="AK99" s="44"/>
      <c r="AL99" s="44"/>
      <c r="AM99" s="44"/>
      <c r="AN99" s="44"/>
      <c r="AO99" s="44"/>
      <c r="AP99" s="44"/>
      <c r="AY99" s="46"/>
      <c r="AZ99" s="46"/>
      <c r="BA99" s="46"/>
      <c r="BB99" s="46"/>
      <c r="BC99" s="46"/>
      <c r="BD99" s="46"/>
      <c r="CH99"/>
      <c r="CI99"/>
      <c r="CJ99"/>
      <c r="CK99"/>
      <c r="CL99"/>
      <c r="CM99"/>
    </row>
    <row r="100" spans="1:91" ht="16">
      <c r="A100" s="172"/>
      <c r="B100" s="172"/>
      <c r="C100" s="172"/>
      <c r="D100" s="181"/>
      <c r="E100" s="169"/>
      <c r="F100" s="182"/>
      <c r="G100" s="182"/>
      <c r="H100" s="172"/>
      <c r="I100" s="172"/>
      <c r="J100" s="172"/>
      <c r="K100" s="168"/>
      <c r="L100" s="169"/>
      <c r="M100" s="172"/>
      <c r="N100" s="156">
        <f t="shared" si="2"/>
        <v>-3287.8954015671002</v>
      </c>
      <c r="O100" s="169">
        <f t="shared" si="3"/>
        <v>0</v>
      </c>
      <c r="P100" s="295">
        <f t="shared" si="5"/>
        <v>0</v>
      </c>
      <c r="Q100" s="290">
        <f t="shared" si="4"/>
        <v>0.01</v>
      </c>
      <c r="R100" s="291"/>
      <c r="S100" s="291"/>
      <c r="T100" s="157"/>
      <c r="U100" s="165"/>
      <c r="V100" s="166"/>
      <c r="W100" s="165"/>
      <c r="X100" s="166"/>
      <c r="Y100" s="157"/>
      <c r="Z100" s="157"/>
      <c r="AA100" s="157"/>
      <c r="AB100" s="157"/>
      <c r="AC100" s="157"/>
      <c r="AD100" s="157"/>
      <c r="AE100" s="157"/>
      <c r="AF100" s="158"/>
      <c r="AG100" s="158"/>
      <c r="AH100" s="44"/>
      <c r="AI100" s="44"/>
      <c r="AJ100" s="44"/>
      <c r="AK100" s="44"/>
      <c r="AL100" s="44"/>
      <c r="AM100" s="44"/>
      <c r="AN100" s="44"/>
      <c r="AO100" s="44"/>
      <c r="AP100" s="44"/>
      <c r="AY100" s="46"/>
      <c r="AZ100" s="46"/>
      <c r="BA100" s="46"/>
      <c r="BB100" s="46"/>
      <c r="BC100" s="46"/>
      <c r="BD100" s="46"/>
      <c r="CH100"/>
      <c r="CI100"/>
      <c r="CJ100"/>
      <c r="CK100"/>
      <c r="CL100"/>
      <c r="CM100"/>
    </row>
    <row r="101" spans="1:91" ht="16">
      <c r="A101" s="172"/>
      <c r="B101" s="172"/>
      <c r="C101" s="172"/>
      <c r="D101" s="181"/>
      <c r="E101" s="169"/>
      <c r="F101" s="183"/>
      <c r="G101" s="183"/>
      <c r="H101" s="173"/>
      <c r="I101" s="172"/>
      <c r="J101" s="172"/>
      <c r="K101" s="168"/>
      <c r="L101" s="169"/>
      <c r="M101" s="172"/>
      <c r="N101" s="156">
        <f t="shared" si="2"/>
        <v>4312.5021039050998</v>
      </c>
      <c r="O101" s="169">
        <f t="shared" si="3"/>
        <v>0</v>
      </c>
      <c r="P101" s="295">
        <f t="shared" si="5"/>
        <v>0</v>
      </c>
      <c r="Q101" s="290">
        <f t="shared" si="4"/>
        <v>0.01</v>
      </c>
      <c r="R101" s="291"/>
      <c r="S101" s="291"/>
      <c r="T101" s="157"/>
      <c r="U101" s="165"/>
      <c r="V101" s="166"/>
      <c r="W101" s="165"/>
      <c r="X101" s="166"/>
      <c r="Y101" s="157"/>
      <c r="Z101" s="157"/>
      <c r="AA101" s="157"/>
      <c r="AB101" s="157"/>
      <c r="AC101" s="157"/>
      <c r="AD101" s="157"/>
      <c r="AE101" s="157"/>
      <c r="AF101" s="158"/>
      <c r="AG101" s="158"/>
      <c r="AH101" s="44"/>
      <c r="AI101" s="44"/>
      <c r="AJ101" s="44"/>
      <c r="AK101" s="44"/>
      <c r="AL101" s="44"/>
      <c r="AM101" s="44"/>
      <c r="AN101" s="44"/>
      <c r="AO101" s="44"/>
      <c r="AP101" s="44"/>
      <c r="AY101" s="46"/>
      <c r="AZ101" s="46"/>
      <c r="BA101" s="46"/>
      <c r="BB101" s="46"/>
      <c r="BC101" s="46"/>
      <c r="BD101" s="46"/>
      <c r="CH101"/>
      <c r="CI101"/>
      <c r="CJ101"/>
      <c r="CK101"/>
      <c r="CL101"/>
      <c r="CM101"/>
    </row>
    <row r="102" spans="1:91" ht="16">
      <c r="A102" s="172"/>
      <c r="B102" s="172"/>
      <c r="C102" s="172"/>
      <c r="D102" s="181"/>
      <c r="E102" s="169"/>
      <c r="F102" s="182"/>
      <c r="G102" s="182"/>
      <c r="H102" s="172"/>
      <c r="I102" s="172"/>
      <c r="J102" s="172"/>
      <c r="K102" s="168"/>
      <c r="L102" s="169"/>
      <c r="M102" s="172"/>
      <c r="N102" s="156">
        <f t="shared" si="2"/>
        <v>-6548.9178960949002</v>
      </c>
      <c r="O102" s="169">
        <f t="shared" si="3"/>
        <v>0</v>
      </c>
      <c r="P102" s="295">
        <f t="shared" si="5"/>
        <v>0</v>
      </c>
      <c r="Q102" s="290">
        <f t="shared" si="4"/>
        <v>0.01</v>
      </c>
      <c r="R102" s="291"/>
      <c r="S102" s="291"/>
      <c r="T102" s="157"/>
      <c r="U102" s="165"/>
      <c r="V102" s="166"/>
      <c r="W102" s="165"/>
      <c r="X102" s="166"/>
      <c r="Y102" s="157"/>
      <c r="Z102" s="157"/>
      <c r="AA102" s="157"/>
      <c r="AB102" s="157"/>
      <c r="AC102" s="157"/>
      <c r="AD102" s="157"/>
      <c r="AE102" s="157"/>
      <c r="AF102" s="158"/>
      <c r="AG102" s="158"/>
      <c r="AH102" s="44"/>
      <c r="AI102" s="44"/>
      <c r="AJ102" s="44"/>
      <c r="AK102" s="44"/>
      <c r="AL102" s="44"/>
      <c r="AM102" s="44"/>
      <c r="AN102" s="44"/>
      <c r="AO102" s="44"/>
      <c r="AP102" s="44"/>
      <c r="AY102" s="46"/>
      <c r="AZ102" s="46"/>
      <c r="BA102" s="46"/>
      <c r="BB102" s="46"/>
      <c r="BC102" s="46"/>
      <c r="BD102" s="46"/>
      <c r="CH102"/>
      <c r="CI102"/>
      <c r="CJ102"/>
      <c r="CK102"/>
      <c r="CL102"/>
      <c r="CM102"/>
    </row>
    <row r="103" spans="1:91" ht="16">
      <c r="A103" s="172"/>
      <c r="B103" s="172"/>
      <c r="C103" s="172"/>
      <c r="D103" s="172"/>
      <c r="E103" s="169"/>
      <c r="F103" s="172"/>
      <c r="G103" s="172"/>
      <c r="H103" s="172"/>
      <c r="I103" s="172"/>
      <c r="J103" s="172"/>
      <c r="K103" s="168"/>
      <c r="L103" s="169"/>
      <c r="M103" s="172"/>
      <c r="N103" s="156">
        <f t="shared" si="2"/>
        <v>108207.245</v>
      </c>
      <c r="O103" s="169">
        <f t="shared" si="3"/>
        <v>0</v>
      </c>
      <c r="P103" s="295">
        <f t="shared" si="5"/>
        <v>0</v>
      </c>
      <c r="Q103" s="290">
        <f t="shared" si="4"/>
        <v>0.01</v>
      </c>
      <c r="R103" s="291"/>
      <c r="S103" s="291"/>
      <c r="T103" s="157"/>
      <c r="U103" s="165"/>
      <c r="V103" s="166"/>
      <c r="W103" s="165"/>
      <c r="X103" s="166"/>
      <c r="Y103" s="157"/>
      <c r="Z103" s="157"/>
      <c r="AA103" s="157"/>
      <c r="AB103" s="157"/>
      <c r="AC103" s="157"/>
      <c r="AD103" s="157"/>
      <c r="AE103" s="157"/>
      <c r="AF103" s="158"/>
      <c r="AG103" s="158"/>
      <c r="AH103" s="44"/>
      <c r="AI103" s="44"/>
      <c r="AJ103" s="44"/>
      <c r="AK103" s="44"/>
      <c r="AL103" s="44"/>
      <c r="AM103" s="44"/>
      <c r="AN103" s="44"/>
      <c r="AO103" s="44"/>
      <c r="AP103" s="44"/>
      <c r="AY103" s="46"/>
      <c r="AZ103" s="46"/>
      <c r="BA103" s="46"/>
      <c r="BB103" s="46"/>
      <c r="BC103" s="46"/>
      <c r="BD103" s="46"/>
      <c r="CH103"/>
      <c r="CI103"/>
      <c r="CJ103"/>
      <c r="CK103"/>
      <c r="CL103"/>
      <c r="CM103"/>
    </row>
    <row r="104" spans="1:91" ht="16">
      <c r="A104" s="172"/>
      <c r="B104" s="172"/>
      <c r="C104" s="172"/>
      <c r="D104" s="181"/>
      <c r="E104" s="169"/>
      <c r="F104" s="182"/>
      <c r="G104" s="182"/>
      <c r="H104" s="172"/>
      <c r="I104" s="172"/>
      <c r="J104" s="172"/>
      <c r="K104" s="168"/>
      <c r="L104" s="169"/>
      <c r="M104" s="172"/>
      <c r="N104" s="156">
        <f t="shared" si="2"/>
        <v>117765.29459999999</v>
      </c>
      <c r="O104" s="169">
        <f t="shared" si="3"/>
        <v>0</v>
      </c>
      <c r="P104" s="295">
        <f t="shared" si="5"/>
        <v>0</v>
      </c>
      <c r="Q104" s="290">
        <f t="shared" si="4"/>
        <v>0.01</v>
      </c>
      <c r="R104" s="291"/>
      <c r="S104" s="291"/>
      <c r="T104" s="157"/>
      <c r="U104" s="165"/>
      <c r="V104" s="166"/>
      <c r="W104" s="165"/>
      <c r="X104" s="166"/>
      <c r="Y104" s="157"/>
      <c r="Z104" s="157"/>
      <c r="AA104" s="157"/>
      <c r="AB104" s="157"/>
      <c r="AC104" s="157"/>
      <c r="AD104" s="157"/>
      <c r="AE104" s="157"/>
      <c r="AF104" s="158"/>
      <c r="AG104" s="158"/>
      <c r="AH104" s="44"/>
      <c r="AI104" s="44"/>
      <c r="AJ104" s="44"/>
      <c r="AK104" s="44"/>
      <c r="AL104" s="44"/>
      <c r="AM104" s="44"/>
      <c r="AN104" s="44"/>
      <c r="AO104" s="44"/>
      <c r="AP104" s="44"/>
      <c r="AY104" s="46"/>
      <c r="AZ104" s="46"/>
      <c r="BA104" s="46"/>
      <c r="BB104" s="46"/>
      <c r="BC104" s="46"/>
      <c r="BD104" s="46"/>
      <c r="CH104"/>
      <c r="CI104"/>
      <c r="CJ104"/>
      <c r="CK104"/>
      <c r="CL104"/>
      <c r="CM104"/>
    </row>
    <row r="105" spans="1:91" ht="16">
      <c r="A105" s="172"/>
      <c r="B105" s="172"/>
      <c r="C105" s="172"/>
      <c r="D105" s="172"/>
      <c r="E105" s="169"/>
      <c r="F105" s="172"/>
      <c r="G105" s="172"/>
      <c r="H105" s="172"/>
      <c r="I105" s="172"/>
      <c r="J105" s="172"/>
      <c r="K105" s="168"/>
      <c r="L105" s="169"/>
      <c r="M105" s="172"/>
      <c r="N105" s="156">
        <f t="shared" si="2"/>
        <v>0</v>
      </c>
      <c r="O105" s="169">
        <f t="shared" si="3"/>
        <v>0</v>
      </c>
      <c r="P105" s="295">
        <f t="shared" si="5"/>
        <v>0</v>
      </c>
      <c r="Q105" s="290">
        <f t="shared" si="4"/>
        <v>0.01</v>
      </c>
      <c r="R105" s="291"/>
      <c r="S105" s="291"/>
      <c r="T105" s="157"/>
      <c r="U105" s="165"/>
      <c r="V105" s="166"/>
      <c r="W105" s="165"/>
      <c r="X105" s="166"/>
      <c r="Y105" s="157"/>
      <c r="Z105" s="157"/>
      <c r="AA105" s="157"/>
      <c r="AB105" s="157"/>
      <c r="AC105" s="157"/>
      <c r="AD105" s="157"/>
      <c r="AE105" s="157"/>
      <c r="AF105" s="158"/>
      <c r="AG105" s="158"/>
      <c r="AH105" s="44"/>
      <c r="AI105" s="44"/>
      <c r="AJ105" s="44"/>
      <c r="AK105" s="44"/>
      <c r="AL105" s="44"/>
      <c r="AM105" s="44"/>
      <c r="AN105" s="44"/>
      <c r="AO105" s="44"/>
      <c r="AP105" s="44"/>
      <c r="AY105" s="46"/>
      <c r="AZ105" s="46"/>
      <c r="BA105" s="46"/>
      <c r="BB105" s="46"/>
      <c r="BC105" s="46"/>
      <c r="BD105" s="46"/>
      <c r="CH105"/>
      <c r="CI105"/>
      <c r="CJ105"/>
      <c r="CK105"/>
      <c r="CL105"/>
      <c r="CM105"/>
    </row>
    <row r="106" spans="1:91" ht="16">
      <c r="A106" s="172"/>
      <c r="B106" s="172"/>
      <c r="C106" s="172"/>
      <c r="D106" s="172"/>
      <c r="E106" s="169"/>
      <c r="F106" s="172"/>
      <c r="G106" s="172"/>
      <c r="H106" s="172"/>
      <c r="I106" s="172"/>
      <c r="J106" s="172"/>
      <c r="K106" s="168"/>
      <c r="L106" s="169"/>
      <c r="M106" s="172"/>
      <c r="N106" s="156">
        <f t="shared" si="2"/>
        <v>1926.6</v>
      </c>
      <c r="O106" s="169">
        <f t="shared" si="3"/>
        <v>0</v>
      </c>
      <c r="P106" s="295">
        <f t="shared" si="5"/>
        <v>0</v>
      </c>
      <c r="Q106" s="290">
        <f t="shared" si="4"/>
        <v>0.01</v>
      </c>
      <c r="R106" s="291"/>
      <c r="S106" s="291"/>
      <c r="T106" s="157"/>
      <c r="U106" s="165"/>
      <c r="V106" s="166"/>
      <c r="W106" s="165"/>
      <c r="X106" s="166"/>
      <c r="Y106" s="157"/>
      <c r="Z106" s="157"/>
      <c r="AA106" s="157"/>
      <c r="AB106" s="157"/>
      <c r="AC106" s="157"/>
      <c r="AD106" s="157"/>
      <c r="AE106" s="157"/>
      <c r="AF106" s="158"/>
      <c r="AG106" s="158"/>
      <c r="AH106" s="44"/>
      <c r="AI106" s="44"/>
      <c r="AJ106" s="44"/>
      <c r="AK106" s="44"/>
      <c r="AL106" s="44"/>
      <c r="AM106" s="44"/>
      <c r="AN106" s="44"/>
      <c r="AO106" s="44"/>
      <c r="AP106" s="44"/>
      <c r="AY106" s="46"/>
      <c r="AZ106" s="46"/>
      <c r="BA106" s="46"/>
      <c r="BB106" s="46"/>
      <c r="BC106" s="46"/>
      <c r="BD106" s="46"/>
      <c r="CH106"/>
      <c r="CI106"/>
      <c r="CJ106"/>
      <c r="CK106"/>
      <c r="CL106"/>
      <c r="CM106"/>
    </row>
    <row r="107" spans="1:91" ht="16">
      <c r="A107" s="172"/>
      <c r="B107" s="172"/>
      <c r="C107" s="172"/>
      <c r="D107" s="172"/>
      <c r="E107" s="169"/>
      <c r="F107" s="172"/>
      <c r="G107" s="172"/>
      <c r="H107" s="172"/>
      <c r="I107" s="172"/>
      <c r="J107" s="172"/>
      <c r="K107" s="168"/>
      <c r="L107" s="169"/>
      <c r="M107" s="172"/>
      <c r="N107" s="156">
        <f t="shared" si="2"/>
        <v>1541.28</v>
      </c>
      <c r="O107" s="169">
        <f t="shared" si="3"/>
        <v>0</v>
      </c>
      <c r="P107" s="295">
        <f t="shared" si="5"/>
        <v>0</v>
      </c>
      <c r="Q107" s="290">
        <f t="shared" si="4"/>
        <v>0.01</v>
      </c>
      <c r="R107" s="291"/>
      <c r="S107" s="291"/>
      <c r="T107" s="157"/>
      <c r="U107" s="165"/>
      <c r="V107" s="166"/>
      <c r="W107" s="165"/>
      <c r="X107" s="166"/>
      <c r="Y107" s="157"/>
      <c r="Z107" s="157"/>
      <c r="AA107" s="157"/>
      <c r="AB107" s="157"/>
      <c r="AC107" s="157"/>
      <c r="AD107" s="157"/>
      <c r="AE107" s="157"/>
      <c r="AF107" s="158"/>
      <c r="AG107" s="158"/>
      <c r="AH107" s="44"/>
      <c r="AI107" s="44"/>
      <c r="AJ107" s="44"/>
      <c r="AK107" s="44"/>
      <c r="AL107" s="44"/>
      <c r="AM107" s="44"/>
      <c r="AN107" s="44"/>
      <c r="AO107" s="44"/>
      <c r="AP107" s="44"/>
      <c r="AY107" s="46"/>
      <c r="AZ107" s="46"/>
      <c r="BA107" s="46"/>
      <c r="BB107" s="46"/>
      <c r="BC107" s="46"/>
      <c r="BD107" s="46"/>
      <c r="CH107"/>
      <c r="CI107"/>
      <c r="CJ107"/>
      <c r="CK107"/>
      <c r="CL107"/>
      <c r="CM107"/>
    </row>
    <row r="108" spans="1:91" ht="16">
      <c r="A108" s="172"/>
      <c r="B108" s="172"/>
      <c r="C108" s="172"/>
      <c r="D108" s="172"/>
      <c r="E108" s="169"/>
      <c r="F108" s="172"/>
      <c r="G108" s="172"/>
      <c r="H108" s="172"/>
      <c r="I108" s="172"/>
      <c r="J108" s="172"/>
      <c r="K108" s="168"/>
      <c r="L108" s="169"/>
      <c r="M108" s="172"/>
      <c r="N108" s="156">
        <f t="shared" si="2"/>
        <v>385.32</v>
      </c>
      <c r="O108" s="169">
        <f t="shared" si="3"/>
        <v>0</v>
      </c>
      <c r="P108" s="295">
        <f t="shared" si="5"/>
        <v>0</v>
      </c>
      <c r="Q108" s="290">
        <f t="shared" si="4"/>
        <v>0.01</v>
      </c>
      <c r="R108" s="291"/>
      <c r="S108" s="291"/>
      <c r="T108" s="157"/>
      <c r="U108" s="165"/>
      <c r="V108" s="166"/>
      <c r="W108" s="165"/>
      <c r="X108" s="166"/>
      <c r="Y108" s="157"/>
      <c r="Z108" s="157"/>
      <c r="AA108" s="157"/>
      <c r="AB108" s="157"/>
      <c r="AC108" s="157"/>
      <c r="AD108" s="157"/>
      <c r="AE108" s="157"/>
      <c r="AF108" s="158"/>
      <c r="AG108" s="158"/>
      <c r="AH108" s="44"/>
      <c r="AI108" s="44"/>
      <c r="AJ108" s="44"/>
      <c r="AK108" s="44"/>
      <c r="AL108" s="44"/>
      <c r="AM108" s="44"/>
      <c r="AN108" s="44"/>
      <c r="AO108" s="44"/>
      <c r="AP108" s="44"/>
      <c r="AY108" s="46"/>
      <c r="AZ108" s="46"/>
      <c r="BA108" s="46"/>
      <c r="BB108" s="46"/>
      <c r="BC108" s="46"/>
      <c r="BD108" s="46"/>
      <c r="CH108"/>
      <c r="CI108"/>
      <c r="CJ108"/>
      <c r="CK108"/>
      <c r="CL108"/>
      <c r="CM108"/>
    </row>
    <row r="109" spans="1:91" s="121" customFormat="1" ht="16">
      <c r="A109" s="172"/>
      <c r="B109" s="172"/>
      <c r="C109" s="172"/>
      <c r="D109" s="172"/>
      <c r="E109" s="169"/>
      <c r="F109" s="172"/>
      <c r="G109" s="172"/>
      <c r="H109" s="172"/>
      <c r="I109" s="172"/>
      <c r="J109" s="172"/>
      <c r="K109" s="168"/>
      <c r="L109" s="169"/>
      <c r="M109" s="172"/>
      <c r="N109" s="156">
        <f t="shared" si="2"/>
        <v>385.32</v>
      </c>
      <c r="O109" s="169">
        <f t="shared" si="3"/>
        <v>0</v>
      </c>
      <c r="P109" s="295">
        <f t="shared" si="5"/>
        <v>0</v>
      </c>
      <c r="Q109" s="290">
        <f t="shared" si="4"/>
        <v>0.01</v>
      </c>
      <c r="R109" s="291"/>
      <c r="S109" s="291"/>
      <c r="T109" s="157"/>
      <c r="U109" s="165"/>
      <c r="V109" s="166"/>
      <c r="W109" s="165"/>
      <c r="X109" s="166"/>
      <c r="Y109" s="157"/>
      <c r="Z109" s="157"/>
      <c r="AA109" s="157"/>
      <c r="AB109" s="157"/>
      <c r="AC109" s="157"/>
      <c r="AD109" s="157"/>
      <c r="AE109" s="157"/>
      <c r="AF109" s="158"/>
      <c r="AG109" s="158"/>
      <c r="AH109" s="44"/>
      <c r="AI109" s="44"/>
      <c r="AJ109" s="44"/>
      <c r="AK109" s="44"/>
      <c r="AL109" s="44"/>
      <c r="AM109" s="44"/>
      <c r="AN109" s="44"/>
      <c r="AO109" s="44"/>
      <c r="AP109" s="44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</row>
    <row r="110" spans="1:91" s="121" customFormat="1" ht="16">
      <c r="A110" s="172"/>
      <c r="B110" s="172"/>
      <c r="C110" s="172"/>
      <c r="D110" s="172"/>
      <c r="E110" s="169"/>
      <c r="F110" s="172"/>
      <c r="G110" s="172"/>
      <c r="H110" s="172"/>
      <c r="I110" s="172"/>
      <c r="J110" s="172"/>
      <c r="K110" s="168"/>
      <c r="L110" s="169"/>
      <c r="M110" s="172"/>
      <c r="N110" s="156">
        <f t="shared" si="2"/>
        <v>0</v>
      </c>
      <c r="O110" s="169">
        <f t="shared" si="3"/>
        <v>0</v>
      </c>
      <c r="P110" s="295">
        <f t="shared" si="5"/>
        <v>0</v>
      </c>
      <c r="Q110" s="290">
        <f t="shared" si="4"/>
        <v>0.01</v>
      </c>
      <c r="R110" s="291"/>
      <c r="S110" s="291"/>
      <c r="T110" s="157"/>
      <c r="U110" s="165"/>
      <c r="V110" s="166"/>
      <c r="W110" s="165"/>
      <c r="X110" s="166"/>
      <c r="Y110" s="157"/>
      <c r="Z110" s="157"/>
      <c r="AA110" s="157"/>
      <c r="AB110" s="157"/>
      <c r="AC110" s="157"/>
      <c r="AD110" s="157"/>
      <c r="AE110" s="157"/>
      <c r="AF110" s="158"/>
      <c r="AG110" s="158"/>
      <c r="AH110" s="44"/>
      <c r="AI110" s="44"/>
      <c r="AJ110" s="44"/>
      <c r="AK110" s="44"/>
      <c r="AL110" s="44"/>
      <c r="AM110" s="44"/>
      <c r="AN110" s="44"/>
      <c r="AO110" s="44"/>
      <c r="AP110" s="44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spans="1:91" ht="16">
      <c r="A111" s="172"/>
      <c r="B111" s="172"/>
      <c r="C111" s="172"/>
      <c r="D111" s="181"/>
      <c r="E111" s="169"/>
      <c r="F111" s="183"/>
      <c r="G111" s="183"/>
      <c r="H111" s="173"/>
      <c r="I111" s="172"/>
      <c r="J111" s="172"/>
      <c r="K111" s="168"/>
      <c r="L111" s="169"/>
      <c r="M111" s="172"/>
      <c r="N111" s="156">
        <f t="shared" si="2"/>
        <v>0</v>
      </c>
      <c r="O111" s="169">
        <f t="shared" si="3"/>
        <v>0</v>
      </c>
      <c r="P111" s="295">
        <f t="shared" si="5"/>
        <v>0</v>
      </c>
      <c r="Q111" s="290">
        <f t="shared" si="4"/>
        <v>0.01</v>
      </c>
      <c r="R111" s="291"/>
      <c r="S111" s="291"/>
      <c r="T111" s="157"/>
      <c r="U111" s="165"/>
      <c r="V111" s="166"/>
      <c r="W111" s="165"/>
      <c r="X111" s="166"/>
      <c r="Y111" s="157"/>
      <c r="Z111" s="157"/>
      <c r="AA111" s="157"/>
      <c r="AB111" s="157"/>
      <c r="AC111" s="157"/>
      <c r="AD111" s="157"/>
      <c r="AE111" s="157"/>
      <c r="AF111" s="158"/>
      <c r="AG111" s="158"/>
      <c r="AH111" s="44"/>
      <c r="AI111" s="44"/>
      <c r="AJ111" s="44"/>
      <c r="AK111" s="44"/>
      <c r="AL111" s="44"/>
      <c r="AM111" s="44"/>
      <c r="AN111" s="44"/>
      <c r="AO111" s="44"/>
      <c r="AP111" s="44"/>
      <c r="AY111" s="46"/>
      <c r="AZ111" s="46"/>
      <c r="BA111" s="46"/>
      <c r="BB111" s="46"/>
      <c r="BC111" s="46"/>
      <c r="BD111" s="46"/>
      <c r="CH111"/>
      <c r="CI111"/>
      <c r="CJ111"/>
      <c r="CK111"/>
      <c r="CL111"/>
      <c r="CM111"/>
    </row>
    <row r="112" spans="1:91" ht="16">
      <c r="A112" s="172"/>
      <c r="B112" s="172"/>
      <c r="C112" s="172"/>
      <c r="D112" s="172"/>
      <c r="E112" s="169"/>
      <c r="F112" s="172"/>
      <c r="G112" s="172"/>
      <c r="H112" s="172"/>
      <c r="I112" s="172"/>
      <c r="J112" s="172"/>
      <c r="K112" s="168"/>
      <c r="L112" s="169"/>
      <c r="M112" s="172"/>
      <c r="N112" s="156">
        <f t="shared" si="2"/>
        <v>0</v>
      </c>
      <c r="O112" s="169">
        <f t="shared" si="3"/>
        <v>0</v>
      </c>
      <c r="P112" s="295">
        <f t="shared" si="5"/>
        <v>0</v>
      </c>
      <c r="Q112" s="290">
        <f t="shared" si="4"/>
        <v>0.01</v>
      </c>
      <c r="R112" s="291"/>
      <c r="S112" s="291"/>
      <c r="T112" s="157"/>
      <c r="U112" s="165"/>
      <c r="V112" s="166"/>
      <c r="W112" s="165"/>
      <c r="X112" s="166"/>
      <c r="Y112" s="157"/>
      <c r="Z112" s="157"/>
      <c r="AA112" s="157"/>
      <c r="AB112" s="157"/>
      <c r="AC112" s="157"/>
      <c r="AD112" s="157"/>
      <c r="AE112" s="157"/>
      <c r="AF112" s="158"/>
      <c r="AG112" s="158"/>
      <c r="AH112" s="44"/>
      <c r="AI112" s="44"/>
      <c r="AJ112" s="44"/>
      <c r="AK112" s="44"/>
      <c r="AL112" s="44"/>
      <c r="AM112" s="44"/>
      <c r="AN112" s="44"/>
      <c r="AO112" s="44"/>
      <c r="AP112" s="44"/>
      <c r="AY112" s="46"/>
      <c r="AZ112" s="46"/>
      <c r="BA112" s="46"/>
      <c r="BB112" s="46"/>
      <c r="BC112" s="46"/>
      <c r="BD112" s="46"/>
      <c r="CH112"/>
      <c r="CI112"/>
      <c r="CJ112"/>
      <c r="CK112"/>
      <c r="CL112"/>
      <c r="CM112"/>
    </row>
    <row r="113" spans="1:91" ht="16">
      <c r="A113" s="172"/>
      <c r="B113" s="172"/>
      <c r="C113" s="172"/>
      <c r="D113" s="172"/>
      <c r="E113" s="169"/>
      <c r="F113" s="172"/>
      <c r="G113" s="172"/>
      <c r="H113" s="172"/>
      <c r="I113" s="172"/>
      <c r="J113" s="172"/>
      <c r="K113" s="168"/>
      <c r="L113" s="169"/>
      <c r="M113" s="172"/>
      <c r="N113" s="156">
        <f t="shared" si="2"/>
        <v>0</v>
      </c>
      <c r="O113" s="169">
        <f t="shared" si="3"/>
        <v>0</v>
      </c>
      <c r="P113" s="295">
        <f t="shared" si="5"/>
        <v>0</v>
      </c>
      <c r="Q113" s="290">
        <f t="shared" si="4"/>
        <v>0.01</v>
      </c>
      <c r="R113" s="291"/>
      <c r="S113" s="291"/>
      <c r="T113" s="157"/>
      <c r="U113" s="165"/>
      <c r="V113" s="166"/>
      <c r="W113" s="165"/>
      <c r="X113" s="166"/>
      <c r="Y113" s="157"/>
      <c r="Z113" s="157"/>
      <c r="AA113" s="157"/>
      <c r="AB113" s="157"/>
      <c r="AC113" s="157"/>
      <c r="AD113" s="157"/>
      <c r="AE113" s="157"/>
      <c r="AF113" s="158"/>
      <c r="AG113" s="158"/>
      <c r="AH113" s="44"/>
      <c r="AI113" s="44"/>
      <c r="AJ113" s="44"/>
      <c r="AK113" s="44"/>
      <c r="AL113" s="44"/>
      <c r="AM113" s="44"/>
      <c r="AN113" s="44"/>
      <c r="AO113" s="44"/>
      <c r="AP113" s="44"/>
      <c r="AY113" s="46"/>
      <c r="AZ113" s="46"/>
      <c r="BA113" s="46"/>
      <c r="BB113" s="46"/>
      <c r="BC113" s="46"/>
      <c r="BD113" s="46"/>
      <c r="CH113"/>
      <c r="CI113"/>
      <c r="CJ113"/>
      <c r="CK113"/>
      <c r="CL113"/>
      <c r="CM113"/>
    </row>
    <row r="114" spans="1:91" ht="16">
      <c r="A114" s="172"/>
      <c r="B114" s="172"/>
      <c r="C114" s="172"/>
      <c r="D114" s="181"/>
      <c r="E114" s="169"/>
      <c r="F114" s="183"/>
      <c r="G114" s="183"/>
      <c r="H114" s="173"/>
      <c r="I114" s="172"/>
      <c r="J114" s="172"/>
      <c r="K114" s="168"/>
      <c r="L114" s="169"/>
      <c r="M114" s="172"/>
      <c r="N114" s="156">
        <f t="shared" si="2"/>
        <v>0</v>
      </c>
      <c r="O114" s="169">
        <f t="shared" si="3"/>
        <v>0</v>
      </c>
      <c r="P114" s="295">
        <f t="shared" si="5"/>
        <v>0</v>
      </c>
      <c r="Q114" s="290">
        <f t="shared" si="4"/>
        <v>0.01</v>
      </c>
      <c r="R114" s="291"/>
      <c r="S114" s="291"/>
      <c r="T114" s="157"/>
      <c r="U114" s="165"/>
      <c r="V114" s="166"/>
      <c r="W114" s="165"/>
      <c r="X114" s="166"/>
      <c r="Y114" s="157"/>
      <c r="Z114" s="157"/>
      <c r="AA114" s="157"/>
      <c r="AB114" s="157"/>
      <c r="AC114" s="157"/>
      <c r="AD114" s="157"/>
      <c r="AE114" s="157"/>
      <c r="AF114" s="158"/>
      <c r="AG114" s="158"/>
      <c r="AH114" s="44"/>
      <c r="AI114" s="44"/>
      <c r="AJ114" s="44"/>
      <c r="AK114" s="44"/>
      <c r="AL114" s="44"/>
      <c r="AM114" s="44"/>
      <c r="AN114" s="44"/>
      <c r="AO114" s="44"/>
      <c r="AP114" s="44"/>
      <c r="AY114" s="46"/>
      <c r="AZ114" s="46"/>
      <c r="BA114" s="46"/>
      <c r="BB114" s="46"/>
      <c r="BC114" s="46"/>
      <c r="BD114" s="46"/>
      <c r="CH114"/>
      <c r="CI114"/>
      <c r="CJ114"/>
      <c r="CK114"/>
      <c r="CL114"/>
      <c r="CM114"/>
    </row>
    <row r="115" spans="1:91" ht="16">
      <c r="A115" s="172"/>
      <c r="B115" s="172"/>
      <c r="C115" s="172"/>
      <c r="D115" s="172"/>
      <c r="E115" s="169"/>
      <c r="F115" s="172"/>
      <c r="G115" s="172"/>
      <c r="H115" s="172"/>
      <c r="I115" s="172"/>
      <c r="J115" s="172"/>
      <c r="K115" s="181"/>
      <c r="L115" s="173"/>
      <c r="M115" s="172"/>
      <c r="N115" s="156">
        <f t="shared" si="2"/>
        <v>10861.42</v>
      </c>
      <c r="O115" s="169">
        <f t="shared" si="3"/>
        <v>0</v>
      </c>
      <c r="P115" s="295">
        <f t="shared" si="5"/>
        <v>0</v>
      </c>
      <c r="Q115" s="290">
        <f t="shared" si="4"/>
        <v>0.01</v>
      </c>
      <c r="R115" s="291"/>
      <c r="S115" s="291"/>
      <c r="T115" s="157"/>
      <c r="U115" s="165"/>
      <c r="V115" s="166"/>
      <c r="W115" s="165"/>
      <c r="X115" s="166"/>
      <c r="Y115" s="157"/>
      <c r="Z115" s="157"/>
      <c r="AA115" s="157"/>
      <c r="AB115" s="157"/>
      <c r="AC115" s="157"/>
      <c r="AD115" s="157"/>
      <c r="AE115" s="157"/>
      <c r="AF115" s="158"/>
      <c r="AG115" s="158"/>
      <c r="AH115" s="44"/>
      <c r="AI115" s="44"/>
      <c r="AJ115" s="44"/>
      <c r="AK115" s="44"/>
      <c r="AL115" s="44"/>
      <c r="AM115" s="44"/>
      <c r="AN115" s="44"/>
      <c r="AO115" s="44"/>
      <c r="AP115" s="44"/>
      <c r="AY115" s="46"/>
      <c r="AZ115" s="46"/>
      <c r="BA115" s="46"/>
      <c r="BB115" s="46"/>
      <c r="BC115" s="46"/>
      <c r="BD115" s="46"/>
      <c r="CH115"/>
      <c r="CI115"/>
      <c r="CJ115"/>
      <c r="CK115"/>
      <c r="CL115"/>
      <c r="CM115"/>
    </row>
    <row r="116" spans="1:91" ht="16" customHeight="1">
      <c r="A116" s="172"/>
      <c r="B116" s="172"/>
      <c r="C116" s="172"/>
      <c r="D116" s="181"/>
      <c r="E116" s="169"/>
      <c r="F116" s="183"/>
      <c r="G116" s="183"/>
      <c r="H116" s="173"/>
      <c r="I116" s="172"/>
      <c r="J116" s="172"/>
      <c r="K116" s="181"/>
      <c r="L116" s="173"/>
      <c r="M116" s="172"/>
      <c r="N116" s="156">
        <f t="shared" si="2"/>
        <v>1303.3704</v>
      </c>
      <c r="O116" s="169">
        <f t="shared" si="3"/>
        <v>0</v>
      </c>
      <c r="P116" s="295">
        <f t="shared" si="5"/>
        <v>0</v>
      </c>
      <c r="Q116" s="290">
        <f t="shared" si="4"/>
        <v>0.01</v>
      </c>
      <c r="R116" s="291"/>
      <c r="S116" s="291"/>
      <c r="T116" s="157"/>
      <c r="U116" s="165"/>
      <c r="V116" s="166"/>
      <c r="W116" s="165"/>
      <c r="X116" s="166"/>
      <c r="Y116" s="157"/>
      <c r="Z116" s="157"/>
      <c r="AA116" s="157"/>
      <c r="AB116" s="157"/>
      <c r="AC116" s="157"/>
      <c r="AD116" s="157"/>
      <c r="AE116" s="157"/>
      <c r="AF116" s="158"/>
      <c r="AG116" s="158"/>
      <c r="AH116" s="44"/>
      <c r="AI116" s="44"/>
      <c r="AJ116" s="44"/>
      <c r="AK116" s="44"/>
      <c r="AL116" s="44"/>
      <c r="AM116" s="44"/>
      <c r="AN116" s="44"/>
      <c r="AO116" s="44"/>
      <c r="AP116" s="44"/>
      <c r="AY116" s="46"/>
      <c r="AZ116" s="46"/>
      <c r="BA116" s="46"/>
      <c r="BB116" s="46"/>
      <c r="BC116" s="46"/>
      <c r="BD116" s="46"/>
      <c r="CH116"/>
      <c r="CI116"/>
      <c r="CJ116"/>
      <c r="CK116"/>
      <c r="CL116"/>
      <c r="CM116"/>
    </row>
    <row r="117" spans="1:91" ht="16">
      <c r="A117" s="172"/>
      <c r="B117" s="172"/>
      <c r="C117" s="172"/>
      <c r="D117" s="181"/>
      <c r="E117" s="169"/>
      <c r="F117" s="182"/>
      <c r="G117" s="182"/>
      <c r="H117" s="172"/>
      <c r="I117" s="172"/>
      <c r="J117" s="172"/>
      <c r="K117" s="181"/>
      <c r="L117" s="173"/>
      <c r="M117" s="172"/>
      <c r="N117" s="156">
        <f t="shared" si="2"/>
        <v>0</v>
      </c>
      <c r="O117" s="169">
        <f t="shared" si="3"/>
        <v>0</v>
      </c>
      <c r="P117" s="295">
        <f t="shared" si="5"/>
        <v>0</v>
      </c>
      <c r="Q117" s="290">
        <f t="shared" si="4"/>
        <v>0.01</v>
      </c>
      <c r="R117" s="291"/>
      <c r="S117" s="291"/>
      <c r="T117" s="157"/>
      <c r="U117" s="165"/>
      <c r="V117" s="166"/>
      <c r="W117" s="165"/>
      <c r="X117" s="166"/>
      <c r="Y117" s="157"/>
      <c r="Z117" s="157"/>
      <c r="AA117" s="157"/>
      <c r="AB117" s="157"/>
      <c r="AC117" s="157"/>
      <c r="AD117" s="157"/>
      <c r="AE117" s="157"/>
      <c r="AF117" s="158"/>
      <c r="AG117" s="158"/>
      <c r="AH117" s="44"/>
      <c r="AI117" s="44"/>
      <c r="AJ117" s="44"/>
      <c r="AK117" s="44"/>
      <c r="AL117" s="44"/>
      <c r="AM117" s="44"/>
      <c r="AN117" s="44"/>
      <c r="AO117" s="44"/>
      <c r="AP117" s="44"/>
      <c r="AY117" s="46"/>
      <c r="AZ117" s="46"/>
      <c r="BA117" s="46"/>
      <c r="BB117" s="46"/>
      <c r="BC117" s="46"/>
      <c r="BD117" s="46"/>
      <c r="CH117"/>
      <c r="CI117"/>
      <c r="CJ117"/>
      <c r="CK117"/>
      <c r="CL117"/>
      <c r="CM117"/>
    </row>
    <row r="118" spans="1:91" ht="16">
      <c r="A118" s="172"/>
      <c r="B118" s="172"/>
      <c r="C118" s="172"/>
      <c r="D118" s="172"/>
      <c r="E118" s="169"/>
      <c r="F118" s="172"/>
      <c r="G118" s="172"/>
      <c r="H118" s="172"/>
      <c r="I118" s="172"/>
      <c r="J118" s="172"/>
      <c r="K118" s="181"/>
      <c r="L118" s="173"/>
      <c r="M118" s="172"/>
      <c r="N118" s="156">
        <f t="shared" si="2"/>
        <v>9558.0496000000003</v>
      </c>
      <c r="O118" s="169">
        <f t="shared" si="3"/>
        <v>0</v>
      </c>
      <c r="P118" s="295">
        <f t="shared" si="5"/>
        <v>0</v>
      </c>
      <c r="Q118" s="290">
        <f t="shared" si="4"/>
        <v>0.01</v>
      </c>
      <c r="R118" s="291"/>
      <c r="S118" s="291"/>
      <c r="T118" s="157"/>
      <c r="U118" s="165"/>
      <c r="V118" s="166"/>
      <c r="W118" s="165"/>
      <c r="X118" s="166"/>
      <c r="Y118" s="157"/>
      <c r="Z118" s="157"/>
      <c r="AA118" s="157"/>
      <c r="AB118" s="157"/>
      <c r="AC118" s="157"/>
      <c r="AD118" s="157"/>
      <c r="AE118" s="157"/>
      <c r="AF118" s="158"/>
      <c r="AG118" s="158"/>
      <c r="AH118" s="44"/>
      <c r="AI118" s="44"/>
      <c r="AJ118" s="44"/>
      <c r="AK118" s="44"/>
      <c r="AL118" s="44"/>
      <c r="AM118" s="44"/>
      <c r="AN118" s="44"/>
      <c r="AO118" s="44"/>
      <c r="AP118" s="44"/>
      <c r="AY118" s="46"/>
      <c r="AZ118" s="46"/>
      <c r="BA118" s="46"/>
      <c r="BB118" s="46"/>
      <c r="BC118" s="46"/>
      <c r="BD118" s="46"/>
      <c r="CH118"/>
      <c r="CI118"/>
      <c r="CJ118"/>
      <c r="CK118"/>
      <c r="CL118"/>
      <c r="CM118"/>
    </row>
    <row r="119" spans="1:91" ht="16">
      <c r="A119" s="172"/>
      <c r="B119" s="172"/>
      <c r="C119" s="172"/>
      <c r="D119" s="172"/>
      <c r="E119" s="169"/>
      <c r="F119" s="172"/>
      <c r="G119" s="172"/>
      <c r="H119" s="172"/>
      <c r="I119" s="172"/>
      <c r="J119" s="172"/>
      <c r="K119" s="181"/>
      <c r="L119" s="173"/>
      <c r="M119" s="172"/>
      <c r="N119" s="156">
        <f t="shared" si="2"/>
        <v>0</v>
      </c>
      <c r="O119" s="169">
        <f t="shared" si="3"/>
        <v>0</v>
      </c>
      <c r="P119" s="295">
        <f t="shared" si="5"/>
        <v>0</v>
      </c>
      <c r="Q119" s="290">
        <f t="shared" si="4"/>
        <v>0.01</v>
      </c>
      <c r="R119" s="291"/>
      <c r="S119" s="291"/>
      <c r="T119" s="157"/>
      <c r="U119" s="165"/>
      <c r="V119" s="166"/>
      <c r="W119" s="165"/>
      <c r="X119" s="166"/>
      <c r="Y119" s="157"/>
      <c r="Z119" s="157"/>
      <c r="AA119" s="157"/>
      <c r="AB119" s="157"/>
      <c r="AC119" s="157"/>
      <c r="AD119" s="157"/>
      <c r="AE119" s="157"/>
      <c r="AF119" s="158"/>
      <c r="AG119" s="158"/>
      <c r="AH119" s="44"/>
      <c r="AI119" s="44"/>
      <c r="AJ119" s="44"/>
      <c r="AK119" s="44"/>
      <c r="AL119" s="44"/>
      <c r="AM119" s="44"/>
      <c r="AN119" s="44"/>
      <c r="AO119" s="44"/>
      <c r="AP119" s="44"/>
      <c r="AY119" s="46"/>
      <c r="AZ119" s="46"/>
      <c r="BA119" s="46"/>
      <c r="BB119" s="46"/>
      <c r="BC119" s="46"/>
      <c r="BD119" s="46"/>
      <c r="CH119"/>
      <c r="CI119"/>
      <c r="CJ119"/>
      <c r="CK119"/>
      <c r="CL119"/>
      <c r="CM119"/>
    </row>
    <row r="120" spans="1:91" ht="16">
      <c r="A120" s="172"/>
      <c r="B120" s="172"/>
      <c r="C120" s="172"/>
      <c r="D120" s="172"/>
      <c r="E120" s="169"/>
      <c r="F120" s="172"/>
      <c r="G120" s="172"/>
      <c r="H120" s="172"/>
      <c r="I120" s="172"/>
      <c r="J120" s="172"/>
      <c r="K120" s="181"/>
      <c r="L120" s="173"/>
      <c r="M120" s="172"/>
      <c r="N120" s="156">
        <f t="shared" si="2"/>
        <v>0</v>
      </c>
      <c r="O120" s="169">
        <f t="shared" si="3"/>
        <v>0</v>
      </c>
      <c r="P120" s="295">
        <f t="shared" si="5"/>
        <v>0</v>
      </c>
      <c r="Q120" s="290">
        <f t="shared" si="4"/>
        <v>0.01</v>
      </c>
      <c r="R120" s="291"/>
      <c r="S120" s="291"/>
      <c r="T120" s="157"/>
      <c r="U120" s="165"/>
      <c r="V120" s="166"/>
      <c r="W120" s="165"/>
      <c r="X120" s="166"/>
      <c r="Y120" s="157"/>
      <c r="Z120" s="157"/>
      <c r="AA120" s="157"/>
      <c r="AB120" s="157"/>
      <c r="AC120" s="157"/>
      <c r="AD120" s="157"/>
      <c r="AE120" s="157"/>
      <c r="AF120" s="158"/>
      <c r="AG120" s="158"/>
      <c r="AH120" s="44"/>
      <c r="AI120" s="44"/>
      <c r="AJ120" s="44"/>
      <c r="AK120" s="44"/>
      <c r="AL120" s="44"/>
      <c r="AM120" s="44"/>
      <c r="AN120" s="44"/>
      <c r="AO120" s="44"/>
      <c r="AP120" s="44"/>
      <c r="AY120" s="46"/>
      <c r="AZ120" s="46"/>
      <c r="BA120" s="46"/>
      <c r="BB120" s="46"/>
      <c r="BC120" s="46"/>
      <c r="BD120" s="46"/>
      <c r="CH120"/>
      <c r="CI120"/>
      <c r="CJ120"/>
      <c r="CK120"/>
      <c r="CL120"/>
      <c r="CM120"/>
    </row>
    <row r="121" spans="1:91" ht="16">
      <c r="A121" s="172"/>
      <c r="B121" s="172"/>
      <c r="C121" s="172"/>
      <c r="D121" s="181"/>
      <c r="E121" s="169"/>
      <c r="F121" s="182"/>
      <c r="G121" s="182"/>
      <c r="H121" s="172"/>
      <c r="I121" s="172"/>
      <c r="J121" s="172"/>
      <c r="K121" s="181"/>
      <c r="L121" s="173"/>
      <c r="M121" s="172"/>
      <c r="N121" s="156">
        <f t="shared" si="2"/>
        <v>1688.6904</v>
      </c>
      <c r="O121" s="169">
        <f t="shared" si="3"/>
        <v>0</v>
      </c>
      <c r="P121" s="295">
        <f t="shared" si="5"/>
        <v>0</v>
      </c>
      <c r="Q121" s="290">
        <f t="shared" si="4"/>
        <v>0.01</v>
      </c>
      <c r="R121" s="291"/>
      <c r="S121" s="291"/>
      <c r="T121" s="157"/>
      <c r="U121" s="165"/>
      <c r="V121" s="166"/>
      <c r="W121" s="165"/>
      <c r="X121" s="166"/>
      <c r="Y121" s="157"/>
      <c r="Z121" s="157"/>
      <c r="AA121" s="157"/>
      <c r="AB121" s="157"/>
      <c r="AC121" s="157"/>
      <c r="AD121" s="157"/>
      <c r="AE121" s="157"/>
      <c r="AF121" s="158"/>
      <c r="AG121" s="158"/>
      <c r="AH121" s="44"/>
      <c r="AI121" s="44"/>
      <c r="AJ121" s="44"/>
      <c r="AK121" s="44"/>
      <c r="AL121" s="44"/>
      <c r="AM121" s="44"/>
      <c r="AN121" s="44"/>
      <c r="AO121" s="44"/>
      <c r="AP121" s="44"/>
      <c r="AY121" s="46"/>
      <c r="AZ121" s="46"/>
      <c r="BA121" s="46"/>
      <c r="BB121" s="46"/>
      <c r="BC121" s="46"/>
      <c r="BD121" s="46"/>
      <c r="CH121"/>
      <c r="CI121"/>
      <c r="CJ121"/>
      <c r="CK121"/>
      <c r="CL121"/>
      <c r="CM121"/>
    </row>
    <row r="122" spans="1:91" ht="16">
      <c r="A122" s="172"/>
      <c r="B122" s="172"/>
      <c r="C122" s="172"/>
      <c r="D122" s="172"/>
      <c r="E122" s="169"/>
      <c r="F122" s="172"/>
      <c r="G122" s="172"/>
      <c r="H122" s="172"/>
      <c r="I122" s="172"/>
      <c r="J122" s="172"/>
      <c r="K122" s="181"/>
      <c r="L122" s="173"/>
      <c r="M122" s="172"/>
      <c r="N122" s="156">
        <f t="shared" si="2"/>
        <v>0</v>
      </c>
      <c r="O122" s="169">
        <f t="shared" si="3"/>
        <v>0</v>
      </c>
      <c r="P122" s="295">
        <f t="shared" si="5"/>
        <v>0</v>
      </c>
      <c r="Q122" s="290">
        <f t="shared" si="4"/>
        <v>0.01</v>
      </c>
      <c r="R122" s="291"/>
      <c r="S122" s="291"/>
      <c r="T122" s="157"/>
      <c r="U122" s="165"/>
      <c r="V122" s="166"/>
      <c r="W122" s="165"/>
      <c r="X122" s="166"/>
      <c r="Y122" s="157"/>
      <c r="Z122" s="157"/>
      <c r="AA122" s="157"/>
      <c r="AB122" s="157"/>
      <c r="AC122" s="157"/>
      <c r="AD122" s="157"/>
      <c r="AE122" s="157"/>
      <c r="AF122" s="158"/>
      <c r="AG122" s="158"/>
      <c r="AH122" s="44"/>
      <c r="AI122" s="44"/>
      <c r="AJ122" s="44"/>
      <c r="AK122" s="44"/>
      <c r="AL122" s="44"/>
      <c r="AM122" s="44"/>
      <c r="AN122" s="44"/>
      <c r="AO122" s="44"/>
      <c r="AP122" s="44"/>
      <c r="AY122" s="46"/>
      <c r="AZ122" s="46"/>
      <c r="BA122" s="46"/>
      <c r="BB122" s="46"/>
      <c r="BC122" s="46"/>
      <c r="BD122" s="46"/>
      <c r="CH122"/>
      <c r="CI122"/>
      <c r="CJ122"/>
      <c r="CK122"/>
      <c r="CL122"/>
      <c r="CM122"/>
    </row>
    <row r="123" spans="1:91" ht="16">
      <c r="A123" s="172"/>
      <c r="B123" s="172"/>
      <c r="C123" s="172"/>
      <c r="D123" s="181"/>
      <c r="E123" s="169"/>
      <c r="F123" s="182"/>
      <c r="G123" s="181"/>
      <c r="H123" s="172"/>
      <c r="I123" s="172"/>
      <c r="J123" s="172"/>
      <c r="K123" s="181"/>
      <c r="L123" s="173"/>
      <c r="M123" s="172"/>
      <c r="N123" s="156">
        <f t="shared" si="2"/>
        <v>11473.344999999999</v>
      </c>
      <c r="O123" s="169">
        <f t="shared" si="3"/>
        <v>0</v>
      </c>
      <c r="P123" s="295">
        <f t="shared" si="5"/>
        <v>0</v>
      </c>
      <c r="Q123" s="290">
        <f t="shared" si="4"/>
        <v>0.01</v>
      </c>
      <c r="R123" s="291"/>
      <c r="S123" s="291"/>
      <c r="T123" s="157"/>
      <c r="U123" s="165"/>
      <c r="V123" s="166"/>
      <c r="W123" s="165"/>
      <c r="X123" s="166"/>
      <c r="Y123" s="157"/>
      <c r="Z123" s="157"/>
      <c r="AA123" s="157"/>
      <c r="AB123" s="157"/>
      <c r="AC123" s="157"/>
      <c r="AD123" s="157"/>
      <c r="AE123" s="157"/>
      <c r="AF123" s="158"/>
      <c r="AG123" s="158"/>
      <c r="AH123" s="44"/>
      <c r="AI123" s="44"/>
      <c r="AJ123" s="44"/>
      <c r="AK123" s="44"/>
      <c r="AL123" s="44"/>
      <c r="AM123" s="44"/>
      <c r="AN123" s="44"/>
      <c r="AO123" s="44"/>
      <c r="AP123" s="44"/>
      <c r="AY123" s="46"/>
      <c r="AZ123" s="46"/>
      <c r="BA123" s="46"/>
      <c r="BB123" s="46"/>
      <c r="BC123" s="46"/>
      <c r="BD123" s="46"/>
      <c r="CH123"/>
      <c r="CI123"/>
      <c r="CJ123"/>
      <c r="CK123"/>
      <c r="CL123"/>
      <c r="CM123"/>
    </row>
    <row r="124" spans="1:91" ht="16">
      <c r="A124" s="172"/>
      <c r="B124" s="172"/>
      <c r="C124" s="172"/>
      <c r="D124" s="172"/>
      <c r="E124" s="169"/>
      <c r="F124" s="172"/>
      <c r="G124" s="172"/>
      <c r="H124" s="172"/>
      <c r="I124" s="172"/>
      <c r="J124" s="172"/>
      <c r="K124" s="181"/>
      <c r="L124" s="173"/>
      <c r="M124" s="172"/>
      <c r="N124" s="156">
        <f t="shared" si="2"/>
        <v>0</v>
      </c>
      <c r="O124" s="169">
        <f t="shared" si="3"/>
        <v>0</v>
      </c>
      <c r="P124" s="295">
        <f t="shared" si="5"/>
        <v>0</v>
      </c>
      <c r="Q124" s="290">
        <f t="shared" si="4"/>
        <v>0.01</v>
      </c>
      <c r="R124" s="291"/>
      <c r="S124" s="291"/>
      <c r="T124" s="157"/>
      <c r="U124" s="165"/>
      <c r="V124" s="166"/>
      <c r="W124" s="165"/>
      <c r="X124" s="166"/>
      <c r="Y124" s="157"/>
      <c r="Z124" s="157"/>
      <c r="AA124" s="157"/>
      <c r="AB124" s="157"/>
      <c r="AC124" s="157"/>
      <c r="AD124" s="157"/>
      <c r="AE124" s="157"/>
      <c r="AF124" s="158"/>
      <c r="AG124" s="158"/>
      <c r="AH124" s="44"/>
      <c r="AI124" s="44"/>
      <c r="AJ124" s="44"/>
      <c r="AK124" s="44"/>
      <c r="AL124" s="44"/>
      <c r="AM124" s="44"/>
      <c r="AN124" s="44"/>
      <c r="AO124" s="44"/>
      <c r="AP124" s="44"/>
      <c r="AY124" s="46"/>
      <c r="AZ124" s="46"/>
      <c r="BA124" s="46"/>
      <c r="BB124" s="46"/>
      <c r="BC124" s="46"/>
      <c r="BD124" s="46"/>
      <c r="CH124"/>
      <c r="CI124"/>
      <c r="CJ124"/>
      <c r="CK124"/>
      <c r="CL124"/>
      <c r="CM124"/>
    </row>
    <row r="125" spans="1:91" ht="16">
      <c r="A125" s="172"/>
      <c r="B125" s="172"/>
      <c r="C125" s="172"/>
      <c r="D125" s="181"/>
      <c r="E125" s="169"/>
      <c r="F125" s="182"/>
      <c r="G125" s="172"/>
      <c r="H125" s="172"/>
      <c r="I125" s="172"/>
      <c r="J125" s="172"/>
      <c r="K125" s="181"/>
      <c r="L125" s="173"/>
      <c r="M125" s="172"/>
      <c r="N125" s="156">
        <f t="shared" si="2"/>
        <v>0</v>
      </c>
      <c r="O125" s="169">
        <f t="shared" si="3"/>
        <v>0</v>
      </c>
      <c r="P125" s="295">
        <f t="shared" si="5"/>
        <v>0</v>
      </c>
      <c r="Q125" s="290">
        <f t="shared" si="4"/>
        <v>0.01</v>
      </c>
      <c r="R125" s="291"/>
      <c r="S125" s="291"/>
      <c r="T125" s="157"/>
      <c r="U125" s="165"/>
      <c r="V125" s="166"/>
      <c r="W125" s="165"/>
      <c r="X125" s="166"/>
      <c r="Y125" s="157"/>
      <c r="Z125" s="157"/>
      <c r="AA125" s="157"/>
      <c r="AB125" s="157"/>
      <c r="AC125" s="157"/>
      <c r="AD125" s="157"/>
      <c r="AE125" s="157"/>
      <c r="AF125" s="158"/>
      <c r="AG125" s="158"/>
      <c r="AH125" s="44"/>
      <c r="AI125" s="44"/>
      <c r="AJ125" s="44"/>
      <c r="AK125" s="44"/>
      <c r="AL125" s="44"/>
      <c r="AM125" s="44"/>
      <c r="AN125" s="44"/>
      <c r="AO125" s="44"/>
      <c r="AP125" s="44"/>
      <c r="AY125" s="46"/>
      <c r="AZ125" s="46"/>
      <c r="BA125" s="46"/>
      <c r="BB125" s="46"/>
      <c r="BC125" s="46"/>
      <c r="BD125" s="46"/>
      <c r="CH125"/>
      <c r="CI125"/>
      <c r="CJ125"/>
      <c r="CK125"/>
      <c r="CL125"/>
      <c r="CM125"/>
    </row>
    <row r="126" spans="1:91" s="121" customFormat="1" ht="16">
      <c r="A126" s="172"/>
      <c r="B126" s="172"/>
      <c r="C126" s="172"/>
      <c r="D126" s="172"/>
      <c r="E126" s="169"/>
      <c r="F126" s="172"/>
      <c r="G126" s="172"/>
      <c r="H126" s="172"/>
      <c r="I126" s="172"/>
      <c r="J126" s="172"/>
      <c r="K126" s="181"/>
      <c r="L126" s="173"/>
      <c r="M126" s="172"/>
      <c r="N126" s="156">
        <f t="shared" si="2"/>
        <v>0</v>
      </c>
      <c r="O126" s="169">
        <f>IF(D60&gt;1,D60/100,D60)</f>
        <v>0</v>
      </c>
      <c r="P126" s="295">
        <f t="shared" si="5"/>
        <v>0</v>
      </c>
      <c r="Q126" s="290">
        <f t="shared" si="4"/>
        <v>0.01</v>
      </c>
      <c r="R126" s="291"/>
      <c r="S126" s="291"/>
      <c r="T126" s="157"/>
      <c r="U126" s="165"/>
      <c r="V126" s="166"/>
      <c r="W126" s="165"/>
      <c r="X126" s="166"/>
      <c r="Y126" s="157"/>
      <c r="Z126" s="157"/>
      <c r="AA126" s="157"/>
      <c r="AB126" s="157"/>
      <c r="AC126" s="157"/>
      <c r="AD126" s="157"/>
      <c r="AE126" s="157"/>
      <c r="AF126" s="158"/>
      <c r="AG126" s="158"/>
      <c r="AH126" s="44"/>
      <c r="AI126" s="44"/>
      <c r="AJ126" s="44"/>
      <c r="AK126" s="44"/>
      <c r="AL126" s="44"/>
      <c r="AM126" s="44"/>
      <c r="AN126" s="44"/>
      <c r="AO126" s="44"/>
      <c r="AP126" s="44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</row>
    <row r="127" spans="1:91" s="121" customFormat="1">
      <c r="A127" s="172"/>
      <c r="B127" s="172"/>
      <c r="C127" s="172"/>
      <c r="D127" s="172"/>
      <c r="E127" s="169"/>
      <c r="F127" s="172"/>
      <c r="G127" s="172"/>
      <c r="H127" s="172"/>
      <c r="I127" s="172"/>
      <c r="J127" s="172"/>
      <c r="K127" s="172"/>
      <c r="L127" s="172"/>
      <c r="M127" s="172"/>
      <c r="N127" s="156"/>
      <c r="O127" s="169"/>
      <c r="P127" s="169"/>
      <c r="Q127" s="156"/>
      <c r="R127" s="170"/>
      <c r="S127" s="170"/>
      <c r="T127" s="170"/>
      <c r="U127" s="170"/>
      <c r="V127" s="170"/>
      <c r="W127" s="170"/>
      <c r="X127" s="170"/>
      <c r="Y127" s="170"/>
      <c r="Z127" s="170"/>
      <c r="AA127" s="170"/>
      <c r="AB127" s="170"/>
      <c r="AC127" s="170"/>
      <c r="AD127" s="170"/>
      <c r="AE127" s="170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</row>
    <row r="128" spans="1:91" s="121" customFormat="1">
      <c r="A128" s="172"/>
      <c r="B128" s="172"/>
      <c r="C128" s="172"/>
      <c r="D128" s="172"/>
      <c r="E128" s="169"/>
      <c r="F128" s="172"/>
      <c r="G128" s="172"/>
      <c r="H128" s="172"/>
      <c r="I128" s="172"/>
      <c r="J128" s="172"/>
      <c r="K128" s="172"/>
      <c r="L128" s="172"/>
      <c r="M128" s="172"/>
      <c r="N128" s="156"/>
      <c r="O128" s="169"/>
      <c r="P128" s="169"/>
      <c r="Q128" s="156"/>
      <c r="R128" s="170"/>
      <c r="S128" s="170"/>
      <c r="T128" s="170"/>
      <c r="U128" s="170"/>
      <c r="V128" s="170"/>
      <c r="W128" s="170"/>
      <c r="X128" s="170"/>
      <c r="Y128" s="170"/>
      <c r="Z128" s="170"/>
      <c r="AA128" s="170"/>
      <c r="AB128" s="170"/>
      <c r="AC128" s="170"/>
      <c r="AD128" s="170"/>
      <c r="AE128" s="170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</row>
    <row r="129" spans="1:91">
      <c r="A129" s="172"/>
      <c r="B129" s="172"/>
      <c r="C129" s="172"/>
      <c r="D129" s="172"/>
      <c r="E129" s="169"/>
      <c r="F129" s="172"/>
      <c r="G129" s="172"/>
      <c r="H129" s="172"/>
      <c r="I129" s="172"/>
      <c r="J129" s="172"/>
      <c r="K129" s="416"/>
      <c r="L129" s="416"/>
      <c r="M129" s="172"/>
      <c r="N129" s="171"/>
      <c r="O129" s="292"/>
      <c r="P129" s="169"/>
      <c r="Q129" s="156"/>
      <c r="R129" s="293"/>
      <c r="S129" s="170"/>
      <c r="T129" s="170"/>
      <c r="U129" s="170"/>
      <c r="V129" s="170"/>
      <c r="W129" s="170"/>
      <c r="X129" s="170"/>
      <c r="Y129" s="170"/>
      <c r="Z129" s="170"/>
      <c r="AA129" s="170"/>
      <c r="AB129" s="170"/>
      <c r="AC129" s="170"/>
      <c r="AD129" s="170"/>
      <c r="AE129" s="170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Y129" s="46"/>
      <c r="AZ129" s="46"/>
      <c r="BA129" s="46"/>
      <c r="BB129" s="46"/>
      <c r="BC129" s="46"/>
      <c r="BD129" s="46"/>
      <c r="CH129"/>
      <c r="CI129"/>
      <c r="CJ129"/>
      <c r="CK129"/>
      <c r="CL129"/>
      <c r="CM129"/>
    </row>
    <row r="130" spans="1:91">
      <c r="A130" s="172"/>
      <c r="B130" s="172"/>
      <c r="C130" s="172"/>
      <c r="D130" s="172"/>
      <c r="E130" s="169"/>
      <c r="F130" s="172"/>
      <c r="G130" s="172"/>
      <c r="H130" s="172"/>
      <c r="I130" s="172"/>
      <c r="J130" s="172"/>
      <c r="K130" s="184"/>
      <c r="L130" s="184"/>
      <c r="M130" s="172"/>
      <c r="N130" s="171"/>
      <c r="O130" s="292"/>
      <c r="P130" s="169"/>
      <c r="Q130" s="156"/>
      <c r="R130" s="293"/>
      <c r="S130" s="293"/>
      <c r="T130" s="170"/>
      <c r="U130" s="170"/>
      <c r="V130" s="170"/>
      <c r="W130" s="170"/>
      <c r="X130" s="170"/>
      <c r="Y130" s="170"/>
      <c r="Z130" s="170"/>
      <c r="AA130" s="170"/>
      <c r="AB130" s="170"/>
      <c r="AC130" s="170"/>
      <c r="AD130" s="170"/>
      <c r="AE130" s="170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Y130" s="46"/>
      <c r="AZ130" s="46"/>
      <c r="BA130" s="46"/>
      <c r="BB130" s="46"/>
      <c r="BC130" s="46"/>
      <c r="BD130" s="46"/>
      <c r="CH130"/>
      <c r="CI130"/>
      <c r="CJ130"/>
      <c r="CK130"/>
      <c r="CL130"/>
      <c r="CM130"/>
    </row>
    <row r="131" spans="1:91">
      <c r="A131" s="172"/>
      <c r="B131" s="172"/>
      <c r="C131" s="172"/>
      <c r="D131" s="172"/>
      <c r="E131" s="169"/>
      <c r="F131" s="172"/>
      <c r="G131" s="172"/>
      <c r="H131" s="172"/>
      <c r="I131" s="172"/>
      <c r="J131" s="172"/>
      <c r="K131" s="172"/>
      <c r="L131" s="172"/>
      <c r="M131" s="172"/>
      <c r="N131" s="168"/>
      <c r="O131" s="169"/>
      <c r="P131" s="169"/>
      <c r="Q131" s="156"/>
      <c r="R131" s="170"/>
      <c r="S131" s="170"/>
      <c r="T131" s="170"/>
      <c r="U131" s="170"/>
      <c r="V131" s="170"/>
      <c r="W131" s="170"/>
      <c r="X131" s="170"/>
      <c r="Y131" s="170"/>
      <c r="Z131" s="170"/>
      <c r="AA131" s="170"/>
      <c r="AB131" s="170"/>
      <c r="AC131" s="170"/>
      <c r="AD131" s="170"/>
      <c r="AE131" s="170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Y131" s="46"/>
      <c r="AZ131" s="46"/>
      <c r="BA131" s="46"/>
      <c r="BB131" s="46"/>
      <c r="BC131" s="46"/>
      <c r="BD131" s="46"/>
      <c r="CH131"/>
      <c r="CI131"/>
      <c r="CJ131"/>
      <c r="CK131"/>
      <c r="CL131"/>
      <c r="CM131"/>
    </row>
    <row r="132" spans="1:91">
      <c r="A132" s="172"/>
      <c r="B132" s="172"/>
      <c r="C132" s="172"/>
      <c r="D132" s="172"/>
      <c r="E132" s="169"/>
      <c r="F132" s="172"/>
      <c r="G132" s="172"/>
      <c r="H132" s="172"/>
      <c r="I132" s="172"/>
      <c r="J132" s="172"/>
      <c r="K132" s="172"/>
      <c r="L132" s="172"/>
      <c r="M132" s="172"/>
      <c r="N132" s="168"/>
      <c r="O132" s="169"/>
      <c r="P132" s="156"/>
      <c r="Q132" s="156"/>
      <c r="R132" s="170"/>
      <c r="S132" s="170"/>
      <c r="T132" s="170"/>
      <c r="U132" s="170"/>
      <c r="V132" s="170"/>
      <c r="W132" s="170"/>
      <c r="X132" s="170"/>
      <c r="Y132" s="170"/>
      <c r="Z132" s="170"/>
      <c r="AA132" s="170"/>
      <c r="AB132" s="170"/>
      <c r="AC132" s="170"/>
      <c r="AD132" s="170"/>
      <c r="AE132" s="170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Y132" s="46"/>
      <c r="AZ132" s="46"/>
      <c r="BA132" s="46"/>
      <c r="BB132" s="46"/>
      <c r="BC132" s="46"/>
      <c r="BD132" s="46"/>
      <c r="CH132"/>
      <c r="CI132"/>
      <c r="CJ132"/>
      <c r="CK132"/>
      <c r="CL132"/>
      <c r="CM132"/>
    </row>
    <row r="133" spans="1:91">
      <c r="A133" s="172"/>
      <c r="B133" s="172"/>
      <c r="C133" s="172"/>
      <c r="D133" s="172"/>
      <c r="E133" s="169"/>
      <c r="F133" s="172"/>
      <c r="G133" s="172"/>
      <c r="H133" s="172"/>
      <c r="I133" s="172"/>
      <c r="J133" s="172"/>
      <c r="K133" s="172"/>
      <c r="L133" s="172"/>
      <c r="M133" s="172"/>
      <c r="N133" s="168"/>
      <c r="O133" s="169"/>
      <c r="P133" s="156"/>
      <c r="Q133" s="156"/>
      <c r="R133" s="170"/>
      <c r="S133" s="170"/>
      <c r="T133" s="170"/>
      <c r="U133" s="170"/>
      <c r="V133" s="170"/>
      <c r="W133" s="170"/>
      <c r="X133" s="170"/>
      <c r="Y133" s="170"/>
      <c r="Z133" s="170"/>
      <c r="AA133" s="170"/>
      <c r="AB133" s="170"/>
      <c r="AC133" s="170"/>
      <c r="AD133" s="170"/>
      <c r="AE133" s="170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Y133" s="46"/>
      <c r="AZ133" s="46"/>
      <c r="BA133" s="46"/>
      <c r="BB133" s="46"/>
      <c r="BC133" s="46"/>
      <c r="BD133" s="46"/>
      <c r="CH133"/>
      <c r="CI133"/>
      <c r="CJ133"/>
      <c r="CK133"/>
      <c r="CL133"/>
      <c r="CM133"/>
    </row>
    <row r="134" spans="1:91">
      <c r="A134" s="156"/>
      <c r="B134" s="156"/>
      <c r="C134" s="156"/>
      <c r="D134" s="156"/>
      <c r="E134" s="169"/>
      <c r="F134" s="156"/>
      <c r="G134" s="156"/>
      <c r="H134" s="156"/>
      <c r="I134" s="156"/>
      <c r="J134" s="156"/>
      <c r="K134" s="156"/>
      <c r="L134" s="156"/>
      <c r="M134" s="156"/>
      <c r="N134" s="168"/>
      <c r="O134" s="169"/>
      <c r="P134" s="156"/>
      <c r="Q134" s="156"/>
      <c r="R134" s="170"/>
      <c r="S134" s="170"/>
      <c r="T134" s="170"/>
      <c r="U134" s="170"/>
      <c r="V134" s="170"/>
      <c r="W134" s="170"/>
      <c r="X134" s="170"/>
      <c r="Y134" s="170"/>
      <c r="Z134" s="170"/>
      <c r="AA134" s="170"/>
      <c r="AB134" s="170"/>
      <c r="AC134" s="170"/>
      <c r="AD134" s="170"/>
      <c r="AE134" s="170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Y134" s="46"/>
      <c r="AZ134" s="46"/>
      <c r="BA134" s="46"/>
      <c r="BB134" s="46"/>
      <c r="BC134" s="46"/>
      <c r="BD134" s="46"/>
      <c r="CH134"/>
      <c r="CI134"/>
      <c r="CJ134"/>
      <c r="CK134"/>
      <c r="CL134"/>
      <c r="CM134"/>
    </row>
    <row r="135" spans="1:91">
      <c r="A135" s="156"/>
      <c r="B135" s="156"/>
      <c r="C135" s="156"/>
      <c r="D135" s="156"/>
      <c r="E135" s="169"/>
      <c r="F135" s="156"/>
      <c r="G135" s="156"/>
      <c r="H135" s="156"/>
      <c r="I135" s="156"/>
      <c r="J135" s="156"/>
      <c r="K135" s="156"/>
      <c r="L135" s="156"/>
      <c r="M135" s="156"/>
      <c r="N135" s="168"/>
      <c r="O135" s="169"/>
      <c r="P135" s="156"/>
      <c r="Q135" s="156"/>
      <c r="R135" s="170"/>
      <c r="S135" s="170"/>
      <c r="T135" s="170"/>
      <c r="U135" s="170"/>
      <c r="V135" s="170"/>
      <c r="W135" s="170"/>
      <c r="X135" s="170"/>
      <c r="Y135" s="170"/>
      <c r="Z135" s="170"/>
      <c r="AA135" s="170"/>
      <c r="AB135" s="170"/>
      <c r="AC135" s="170"/>
      <c r="AD135" s="170"/>
      <c r="AE135" s="170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Y135" s="46"/>
      <c r="AZ135" s="46"/>
      <c r="BA135" s="46"/>
      <c r="BB135" s="46"/>
      <c r="BC135" s="46"/>
      <c r="BD135" s="46"/>
      <c r="CH135"/>
      <c r="CI135"/>
      <c r="CJ135"/>
      <c r="CK135"/>
      <c r="CL135"/>
      <c r="CM135"/>
    </row>
    <row r="136" spans="1:91">
      <c r="A136" s="156"/>
      <c r="B136" s="156"/>
      <c r="C136" s="156"/>
      <c r="D136" s="156"/>
      <c r="E136" s="169"/>
      <c r="F136" s="156"/>
      <c r="G136" s="156"/>
      <c r="H136" s="156"/>
      <c r="I136" s="156"/>
      <c r="J136" s="156"/>
      <c r="K136" s="156"/>
      <c r="L136" s="156"/>
      <c r="M136" s="156"/>
      <c r="N136" s="168"/>
      <c r="O136" s="169"/>
      <c r="P136" s="156"/>
      <c r="Q136" s="156"/>
      <c r="R136" s="170"/>
      <c r="S136" s="170"/>
      <c r="T136" s="170"/>
      <c r="U136" s="170"/>
      <c r="V136" s="170"/>
      <c r="W136" s="170"/>
      <c r="X136" s="170"/>
      <c r="Y136" s="170"/>
      <c r="Z136" s="170"/>
      <c r="AA136" s="170"/>
      <c r="AB136" s="170"/>
      <c r="AC136" s="170"/>
      <c r="AD136" s="170"/>
      <c r="AE136" s="170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Y136" s="46"/>
      <c r="AZ136" s="46"/>
      <c r="BA136" s="46"/>
      <c r="BB136" s="46"/>
      <c r="BC136" s="46"/>
      <c r="BD136" s="46"/>
      <c r="CH136"/>
      <c r="CI136"/>
      <c r="CJ136"/>
      <c r="CK136"/>
      <c r="CL136"/>
      <c r="CM136"/>
    </row>
    <row r="137" spans="1:91">
      <c r="A137" s="156"/>
      <c r="B137" s="156"/>
      <c r="C137" s="156"/>
      <c r="D137" s="156"/>
      <c r="E137" s="169"/>
      <c r="F137" s="156"/>
      <c r="G137" s="156"/>
      <c r="H137" s="156"/>
      <c r="I137" s="156"/>
      <c r="J137" s="156"/>
      <c r="K137" s="156"/>
      <c r="L137" s="156"/>
      <c r="M137" s="156"/>
      <c r="N137" s="168"/>
      <c r="O137" s="169"/>
      <c r="P137" s="156"/>
      <c r="Q137" s="156"/>
      <c r="R137" s="170"/>
      <c r="S137" s="170"/>
      <c r="T137" s="170"/>
      <c r="U137" s="170"/>
      <c r="V137" s="170"/>
      <c r="W137" s="170"/>
      <c r="X137" s="170"/>
      <c r="Y137" s="170"/>
      <c r="Z137" s="170"/>
      <c r="AA137" s="170"/>
      <c r="AB137" s="170"/>
      <c r="AC137" s="170"/>
      <c r="AD137" s="170"/>
      <c r="AE137" s="170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Y137" s="46"/>
      <c r="AZ137" s="46"/>
      <c r="BA137" s="46"/>
      <c r="BB137" s="46"/>
      <c r="BC137" s="46"/>
      <c r="BD137" s="46"/>
      <c r="CH137"/>
      <c r="CI137"/>
      <c r="CJ137"/>
      <c r="CK137"/>
      <c r="CL137"/>
      <c r="CM137"/>
    </row>
    <row r="138" spans="1:91">
      <c r="A138" s="156"/>
      <c r="B138" s="156"/>
      <c r="C138" s="156"/>
      <c r="D138" s="156"/>
      <c r="E138" s="169"/>
      <c r="F138" s="156"/>
      <c r="G138" s="156"/>
      <c r="H138" s="156"/>
      <c r="I138" s="156"/>
      <c r="J138" s="156"/>
      <c r="K138" s="156"/>
      <c r="L138" s="156"/>
      <c r="M138" s="156"/>
      <c r="N138" s="168"/>
      <c r="O138" s="169"/>
      <c r="P138" s="156"/>
      <c r="Q138" s="156"/>
      <c r="R138" s="170"/>
      <c r="S138" s="170"/>
      <c r="T138" s="170"/>
      <c r="U138" s="170"/>
      <c r="V138" s="170"/>
      <c r="W138" s="170"/>
      <c r="X138" s="170"/>
      <c r="Y138" s="170"/>
      <c r="Z138" s="170"/>
      <c r="AA138" s="170"/>
      <c r="AB138" s="170"/>
      <c r="AC138" s="170"/>
      <c r="AD138" s="170"/>
      <c r="AE138" s="170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Y138" s="46"/>
      <c r="AZ138" s="46"/>
      <c r="BA138" s="46"/>
      <c r="BB138" s="46"/>
      <c r="BC138" s="46"/>
      <c r="BD138" s="46"/>
      <c r="CH138"/>
      <c r="CI138"/>
      <c r="CJ138"/>
      <c r="CK138"/>
      <c r="CL138"/>
      <c r="CM138"/>
    </row>
    <row r="139" spans="1:91">
      <c r="A139" s="156"/>
      <c r="B139" s="156"/>
      <c r="C139" s="156"/>
      <c r="D139" s="156"/>
      <c r="E139" s="169"/>
      <c r="F139" s="156"/>
      <c r="G139" s="156"/>
      <c r="H139" s="156"/>
      <c r="I139" s="156"/>
      <c r="J139" s="156"/>
      <c r="K139" s="156"/>
      <c r="L139" s="156"/>
      <c r="M139" s="156"/>
      <c r="N139" s="168"/>
      <c r="O139" s="169"/>
      <c r="P139" s="156"/>
      <c r="Q139" s="156"/>
      <c r="R139" s="170"/>
      <c r="S139" s="170"/>
      <c r="T139" s="170"/>
      <c r="U139" s="170"/>
      <c r="V139" s="170"/>
      <c r="W139" s="170"/>
      <c r="X139" s="170"/>
      <c r="Y139" s="170"/>
      <c r="Z139" s="170"/>
      <c r="AA139" s="170"/>
      <c r="AB139" s="170"/>
      <c r="AC139" s="170"/>
      <c r="AD139" s="170"/>
      <c r="AE139" s="170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Y139" s="46"/>
      <c r="AZ139" s="46"/>
      <c r="BA139" s="46"/>
      <c r="BB139" s="46"/>
      <c r="BC139" s="46"/>
      <c r="BD139" s="46"/>
      <c r="CH139"/>
      <c r="CI139"/>
      <c r="CJ139"/>
      <c r="CK139"/>
      <c r="CL139"/>
      <c r="CM139"/>
    </row>
    <row r="140" spans="1:91">
      <c r="A140" s="156"/>
      <c r="B140" s="156"/>
      <c r="C140" s="156"/>
      <c r="D140" s="156"/>
      <c r="E140" s="169"/>
      <c r="F140" s="156"/>
      <c r="G140" s="156"/>
      <c r="H140" s="156"/>
      <c r="I140" s="156"/>
      <c r="J140" s="156"/>
      <c r="K140" s="156"/>
      <c r="L140" s="156"/>
      <c r="M140" s="156"/>
      <c r="N140" s="168"/>
      <c r="O140" s="169"/>
      <c r="P140" s="156"/>
      <c r="Q140" s="156"/>
      <c r="R140" s="170"/>
      <c r="S140" s="170"/>
      <c r="T140" s="170"/>
      <c r="U140" s="170"/>
      <c r="V140" s="170"/>
      <c r="W140" s="170"/>
      <c r="X140" s="170"/>
      <c r="Y140" s="170"/>
      <c r="Z140" s="170"/>
      <c r="AA140" s="170"/>
      <c r="AB140" s="170"/>
      <c r="AC140" s="170"/>
      <c r="AD140" s="170"/>
      <c r="AE140" s="170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Y140" s="46"/>
      <c r="AZ140" s="46"/>
      <c r="BA140" s="46"/>
      <c r="BB140" s="46"/>
      <c r="BC140" s="46"/>
      <c r="BD140" s="46"/>
      <c r="CH140"/>
      <c r="CI140"/>
      <c r="CJ140"/>
      <c r="CK140"/>
      <c r="CL140"/>
      <c r="CM140"/>
    </row>
    <row r="141" spans="1:91">
      <c r="A141" s="156"/>
      <c r="B141" s="156"/>
      <c r="C141" s="156"/>
      <c r="D141" s="156"/>
      <c r="E141" s="169"/>
      <c r="F141" s="156"/>
      <c r="G141" s="156"/>
      <c r="H141" s="156"/>
      <c r="I141" s="156"/>
      <c r="J141" s="156"/>
      <c r="K141" s="156"/>
      <c r="L141" s="156"/>
      <c r="M141" s="156"/>
      <c r="N141" s="168"/>
      <c r="O141" s="169"/>
      <c r="P141" s="156"/>
      <c r="Q141" s="156"/>
      <c r="R141" s="170"/>
      <c r="S141" s="170"/>
      <c r="T141" s="170"/>
      <c r="U141" s="170"/>
      <c r="V141" s="170"/>
      <c r="W141" s="170"/>
      <c r="X141" s="170"/>
      <c r="Y141" s="170"/>
      <c r="Z141" s="170"/>
      <c r="AA141" s="170"/>
      <c r="AB141" s="170"/>
      <c r="AC141" s="170"/>
      <c r="AD141" s="170"/>
      <c r="AE141" s="170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Y141" s="46"/>
      <c r="AZ141" s="46"/>
      <c r="BA141" s="46"/>
      <c r="BB141" s="46"/>
      <c r="BC141" s="46"/>
      <c r="BD141" s="46"/>
      <c r="CH141"/>
      <c r="CI141"/>
      <c r="CJ141"/>
      <c r="CK141"/>
      <c r="CL141"/>
      <c r="CM141"/>
    </row>
    <row r="142" spans="1:91">
      <c r="A142" s="156"/>
      <c r="B142" s="156"/>
      <c r="C142" s="156"/>
      <c r="D142" s="156"/>
      <c r="E142" s="169"/>
      <c r="F142" s="156"/>
      <c r="G142" s="156"/>
      <c r="H142" s="156"/>
      <c r="I142" s="156"/>
      <c r="J142" s="156"/>
      <c r="K142" s="156"/>
      <c r="L142" s="156"/>
      <c r="M142" s="156"/>
      <c r="N142" s="168"/>
      <c r="O142" s="169"/>
      <c r="P142" s="156"/>
      <c r="Q142" s="156"/>
      <c r="R142" s="170"/>
      <c r="S142" s="170"/>
      <c r="T142" s="170"/>
      <c r="U142" s="170"/>
      <c r="V142" s="170"/>
      <c r="W142" s="170"/>
      <c r="X142" s="170"/>
      <c r="Y142" s="170"/>
      <c r="Z142" s="170"/>
      <c r="AA142" s="170"/>
      <c r="AB142" s="170"/>
      <c r="AC142" s="170"/>
      <c r="AD142" s="170"/>
      <c r="AE142" s="170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Y142" s="46"/>
      <c r="AZ142" s="46"/>
      <c r="BA142" s="46"/>
      <c r="BB142" s="46"/>
      <c r="BC142" s="46"/>
      <c r="BD142" s="46"/>
      <c r="CH142"/>
      <c r="CI142"/>
      <c r="CJ142"/>
      <c r="CK142"/>
      <c r="CL142"/>
      <c r="CM142"/>
    </row>
    <row r="143" spans="1:91">
      <c r="A143" s="156"/>
      <c r="B143" s="156"/>
      <c r="C143" s="156"/>
      <c r="D143" s="156"/>
      <c r="E143" s="169"/>
      <c r="F143" s="156"/>
      <c r="G143" s="156"/>
      <c r="H143" s="156"/>
      <c r="I143" s="156"/>
      <c r="J143" s="156"/>
      <c r="K143" s="156"/>
      <c r="L143" s="156"/>
      <c r="M143" s="156"/>
      <c r="N143" s="168"/>
      <c r="O143" s="169"/>
      <c r="P143" s="156"/>
      <c r="Q143" s="156"/>
      <c r="R143" s="170"/>
      <c r="S143" s="170"/>
      <c r="T143" s="170"/>
      <c r="U143" s="170"/>
      <c r="V143" s="170"/>
      <c r="W143" s="170"/>
      <c r="X143" s="170"/>
      <c r="Y143" s="170"/>
      <c r="Z143" s="170"/>
      <c r="AA143" s="170"/>
      <c r="AB143" s="170"/>
      <c r="AC143" s="170"/>
      <c r="AD143" s="170"/>
      <c r="AE143" s="170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Y143" s="46"/>
      <c r="AZ143" s="46"/>
      <c r="BA143" s="46"/>
      <c r="BB143" s="46"/>
      <c r="BC143" s="46"/>
      <c r="BD143" s="46"/>
      <c r="CH143"/>
      <c r="CI143"/>
      <c r="CJ143"/>
      <c r="CK143"/>
      <c r="CL143"/>
      <c r="CM143"/>
    </row>
    <row r="144" spans="1:91">
      <c r="A144" s="156"/>
      <c r="B144" s="156"/>
      <c r="C144" s="156"/>
      <c r="D144" s="156"/>
      <c r="E144" s="169"/>
      <c r="F144" s="156"/>
      <c r="G144" s="156"/>
      <c r="H144" s="156"/>
      <c r="I144" s="156"/>
      <c r="J144" s="156"/>
      <c r="K144" s="156"/>
      <c r="L144" s="156"/>
      <c r="M144" s="156"/>
      <c r="N144" s="168"/>
      <c r="O144" s="169"/>
      <c r="P144" s="156"/>
      <c r="Q144" s="156"/>
      <c r="R144" s="170"/>
      <c r="S144" s="170"/>
      <c r="T144" s="170"/>
      <c r="U144" s="170"/>
      <c r="V144" s="170"/>
      <c r="W144" s="170"/>
      <c r="X144" s="170"/>
      <c r="Y144" s="170"/>
      <c r="Z144" s="170"/>
      <c r="AA144" s="170"/>
      <c r="AB144" s="170"/>
      <c r="AC144" s="170"/>
      <c r="AD144" s="170"/>
      <c r="AE144" s="170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Y144" s="46"/>
      <c r="AZ144" s="46"/>
      <c r="BA144" s="46"/>
      <c r="BB144" s="46"/>
      <c r="BC144" s="46"/>
      <c r="BD144" s="46"/>
      <c r="CH144"/>
      <c r="CI144"/>
      <c r="CJ144"/>
      <c r="CK144"/>
      <c r="CL144"/>
      <c r="CM144"/>
    </row>
    <row r="145" spans="1:91">
      <c r="A145" s="156"/>
      <c r="B145" s="156"/>
      <c r="C145" s="156"/>
      <c r="D145" s="156"/>
      <c r="E145" s="169"/>
      <c r="F145" s="156"/>
      <c r="G145" s="156"/>
      <c r="H145" s="156"/>
      <c r="I145" s="156"/>
      <c r="J145" s="156"/>
      <c r="K145" s="156"/>
      <c r="L145" s="156"/>
      <c r="M145" s="156"/>
      <c r="N145" s="168"/>
      <c r="O145" s="169"/>
      <c r="P145" s="156"/>
      <c r="Q145" s="156"/>
      <c r="R145" s="170"/>
      <c r="S145" s="170"/>
      <c r="T145" s="170"/>
      <c r="U145" s="170"/>
      <c r="V145" s="170"/>
      <c r="W145" s="170"/>
      <c r="X145" s="170"/>
      <c r="Y145" s="170"/>
      <c r="Z145" s="170"/>
      <c r="AA145" s="170"/>
      <c r="AB145" s="170"/>
      <c r="AC145" s="170"/>
      <c r="AD145" s="170"/>
      <c r="AE145" s="170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Y145" s="46"/>
      <c r="AZ145" s="46"/>
      <c r="BA145" s="46"/>
      <c r="BB145" s="46"/>
      <c r="BC145" s="46"/>
      <c r="BD145" s="46"/>
      <c r="CH145"/>
      <c r="CI145"/>
      <c r="CJ145"/>
      <c r="CK145"/>
      <c r="CL145"/>
      <c r="CM145"/>
    </row>
    <row r="146" spans="1:91">
      <c r="A146" s="156"/>
      <c r="B146" s="156"/>
      <c r="C146" s="156"/>
      <c r="D146" s="156"/>
      <c r="E146" s="169"/>
      <c r="F146" s="156"/>
      <c r="G146" s="156"/>
      <c r="H146" s="156"/>
      <c r="I146" s="156"/>
      <c r="J146" s="156"/>
      <c r="K146" s="156"/>
      <c r="L146" s="156"/>
      <c r="M146" s="156"/>
      <c r="N146" s="168"/>
      <c r="O146" s="169"/>
      <c r="P146" s="156"/>
      <c r="Q146" s="156"/>
      <c r="R146" s="170"/>
      <c r="S146" s="170"/>
      <c r="T146" s="170"/>
      <c r="U146" s="170"/>
      <c r="V146" s="170"/>
      <c r="W146" s="170"/>
      <c r="X146" s="170"/>
      <c r="Y146" s="170"/>
      <c r="Z146" s="170"/>
      <c r="AA146" s="170"/>
      <c r="AB146" s="170"/>
      <c r="AC146" s="170"/>
      <c r="AD146" s="170"/>
      <c r="AE146" s="170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Y146" s="46"/>
      <c r="AZ146" s="46"/>
      <c r="BA146" s="46"/>
      <c r="BB146" s="46"/>
      <c r="BC146" s="46"/>
      <c r="BD146" s="46"/>
      <c r="CH146"/>
      <c r="CI146"/>
      <c r="CJ146"/>
      <c r="CK146"/>
      <c r="CL146"/>
      <c r="CM146"/>
    </row>
    <row r="147" spans="1:91">
      <c r="A147" s="156"/>
      <c r="B147" s="156"/>
      <c r="C147" s="156"/>
      <c r="D147" s="156"/>
      <c r="E147" s="169"/>
      <c r="F147" s="156"/>
      <c r="G147" s="156"/>
      <c r="H147" s="156"/>
      <c r="I147" s="156"/>
      <c r="J147" s="156"/>
      <c r="K147" s="156"/>
      <c r="L147" s="156"/>
      <c r="M147" s="156"/>
      <c r="N147" s="168"/>
      <c r="O147" s="169"/>
      <c r="P147" s="156"/>
      <c r="Q147" s="156"/>
      <c r="R147" s="170"/>
      <c r="S147" s="170"/>
      <c r="T147" s="170"/>
      <c r="U147" s="170"/>
      <c r="V147" s="170"/>
      <c r="W147" s="170"/>
      <c r="X147" s="170"/>
      <c r="Y147" s="170"/>
      <c r="Z147" s="170"/>
      <c r="AA147" s="170"/>
      <c r="AB147" s="170"/>
      <c r="AC147" s="170"/>
      <c r="AD147" s="170"/>
      <c r="AE147" s="170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Y147" s="46"/>
      <c r="AZ147" s="46"/>
      <c r="BA147" s="46"/>
      <c r="BB147" s="46"/>
      <c r="BC147" s="46"/>
      <c r="BD147" s="46"/>
      <c r="CH147"/>
      <c r="CI147"/>
      <c r="CJ147"/>
      <c r="CK147"/>
      <c r="CL147"/>
      <c r="CM147"/>
    </row>
    <row r="148" spans="1:91">
      <c r="A148" s="156"/>
      <c r="B148" s="156"/>
      <c r="C148" s="156"/>
      <c r="D148" s="156"/>
      <c r="E148" s="169"/>
      <c r="F148" s="156"/>
      <c r="G148" s="156"/>
      <c r="H148" s="156"/>
      <c r="I148" s="156"/>
      <c r="J148" s="156"/>
      <c r="K148" s="156"/>
      <c r="L148" s="156"/>
      <c r="M148" s="156"/>
      <c r="N148" s="168"/>
      <c r="O148" s="169"/>
      <c r="P148" s="156"/>
      <c r="Q148" s="156"/>
      <c r="R148" s="170"/>
      <c r="S148" s="170"/>
      <c r="T148" s="170"/>
      <c r="U148" s="170"/>
      <c r="V148" s="170"/>
      <c r="W148" s="170"/>
      <c r="X148" s="170"/>
      <c r="Y148" s="170"/>
      <c r="Z148" s="170"/>
      <c r="AA148" s="170"/>
      <c r="AB148" s="170"/>
      <c r="AC148" s="170"/>
      <c r="AD148" s="170"/>
      <c r="AE148" s="170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Y148" s="46"/>
      <c r="AZ148" s="46"/>
      <c r="BA148" s="46"/>
      <c r="BB148" s="46"/>
      <c r="BC148" s="46"/>
      <c r="BD148" s="46"/>
      <c r="CH148"/>
      <c r="CI148"/>
      <c r="CJ148"/>
      <c r="CK148"/>
      <c r="CL148"/>
      <c r="CM148"/>
    </row>
    <row r="149" spans="1:91">
      <c r="A149" s="156"/>
      <c r="B149" s="156"/>
      <c r="C149" s="156"/>
      <c r="D149" s="156"/>
      <c r="E149" s="169"/>
      <c r="F149" s="156"/>
      <c r="G149" s="156"/>
      <c r="H149" s="156"/>
      <c r="I149" s="156"/>
      <c r="J149" s="156"/>
      <c r="K149" s="156"/>
      <c r="L149" s="156"/>
      <c r="M149" s="156"/>
      <c r="N149" s="168"/>
      <c r="O149" s="169"/>
      <c r="P149" s="156"/>
      <c r="Q149" s="156"/>
      <c r="R149" s="170"/>
      <c r="S149" s="170"/>
      <c r="T149" s="170"/>
      <c r="U149" s="170"/>
      <c r="V149" s="170"/>
      <c r="W149" s="170"/>
      <c r="X149" s="170"/>
      <c r="Y149" s="170"/>
      <c r="Z149" s="170"/>
      <c r="AA149" s="170"/>
      <c r="AB149" s="170"/>
      <c r="AC149" s="170"/>
      <c r="AD149" s="170"/>
      <c r="AE149" s="170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Y149" s="46"/>
      <c r="AZ149" s="46"/>
      <c r="BA149" s="46"/>
      <c r="BB149" s="46"/>
      <c r="BC149" s="46"/>
      <c r="BD149" s="46"/>
      <c r="CH149"/>
      <c r="CI149"/>
      <c r="CJ149"/>
      <c r="CK149"/>
      <c r="CL149"/>
      <c r="CM149"/>
    </row>
    <row r="150" spans="1:91">
      <c r="A150" s="156"/>
      <c r="B150" s="156"/>
      <c r="C150" s="156"/>
      <c r="D150" s="156"/>
      <c r="E150" s="169"/>
      <c r="F150" s="156"/>
      <c r="G150" s="156"/>
      <c r="H150" s="156"/>
      <c r="I150" s="156"/>
      <c r="J150" s="156"/>
      <c r="K150" s="156"/>
      <c r="L150" s="156"/>
      <c r="M150" s="156"/>
      <c r="N150" s="168"/>
      <c r="O150" s="169"/>
      <c r="P150" s="156"/>
      <c r="Q150" s="156"/>
      <c r="R150" s="170"/>
      <c r="S150" s="170"/>
      <c r="T150" s="170"/>
      <c r="U150" s="170"/>
      <c r="V150" s="170"/>
      <c r="W150" s="170"/>
      <c r="X150" s="170"/>
      <c r="Y150" s="170"/>
      <c r="Z150" s="170"/>
      <c r="AA150" s="170"/>
      <c r="AB150" s="170"/>
      <c r="AC150" s="170"/>
      <c r="AD150" s="170"/>
      <c r="AE150" s="170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Y150" s="46"/>
      <c r="AZ150" s="46"/>
      <c r="BA150" s="46"/>
      <c r="BB150" s="46"/>
      <c r="BC150" s="46"/>
      <c r="BD150" s="46"/>
      <c r="CH150"/>
      <c r="CI150"/>
      <c r="CJ150"/>
      <c r="CK150"/>
      <c r="CL150"/>
      <c r="CM150"/>
    </row>
    <row r="151" spans="1:91">
      <c r="A151" s="156"/>
      <c r="B151" s="156"/>
      <c r="C151" s="156"/>
      <c r="D151" s="156"/>
      <c r="E151" s="169"/>
      <c r="F151" s="156"/>
      <c r="G151" s="156"/>
      <c r="H151" s="156"/>
      <c r="I151" s="156"/>
      <c r="J151" s="156"/>
      <c r="K151" s="156"/>
      <c r="L151" s="156"/>
      <c r="M151" s="156"/>
      <c r="N151" s="168"/>
      <c r="O151" s="169"/>
      <c r="P151" s="156"/>
      <c r="Q151" s="156"/>
      <c r="R151" s="170"/>
      <c r="S151" s="170"/>
      <c r="T151" s="170"/>
      <c r="U151" s="170"/>
      <c r="V151" s="170"/>
      <c r="W151" s="170"/>
      <c r="X151" s="170"/>
      <c r="Y151" s="170"/>
      <c r="Z151" s="170"/>
      <c r="AA151" s="170"/>
      <c r="AB151" s="170"/>
      <c r="AC151" s="170"/>
      <c r="AD151" s="170"/>
      <c r="AE151" s="170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Y151" s="46"/>
      <c r="AZ151" s="46"/>
      <c r="BA151" s="46"/>
      <c r="BB151" s="46"/>
      <c r="BC151" s="46"/>
      <c r="BD151" s="46"/>
      <c r="CH151"/>
      <c r="CI151"/>
      <c r="CJ151"/>
      <c r="CK151"/>
      <c r="CL151"/>
      <c r="CM151"/>
    </row>
    <row r="152" spans="1:91">
      <c r="A152" s="156"/>
      <c r="B152" s="156"/>
      <c r="C152" s="156"/>
      <c r="D152" s="156"/>
      <c r="E152" s="169"/>
      <c r="F152" s="156"/>
      <c r="G152" s="156"/>
      <c r="H152" s="156"/>
      <c r="I152" s="156"/>
      <c r="J152" s="156"/>
      <c r="K152" s="156"/>
      <c r="L152" s="156"/>
      <c r="M152" s="156"/>
      <c r="N152" s="168"/>
      <c r="O152" s="169"/>
      <c r="P152" s="156"/>
      <c r="Q152" s="156"/>
      <c r="R152" s="170"/>
      <c r="S152" s="170"/>
      <c r="T152" s="170"/>
      <c r="U152" s="170"/>
      <c r="V152" s="170"/>
      <c r="W152" s="170"/>
      <c r="X152" s="170"/>
      <c r="Y152" s="170"/>
      <c r="Z152" s="170"/>
      <c r="AA152" s="170"/>
      <c r="AB152" s="170"/>
      <c r="AC152" s="170"/>
      <c r="AD152" s="170"/>
      <c r="AE152" s="170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Y152" s="46"/>
      <c r="AZ152" s="46"/>
      <c r="BA152" s="46"/>
      <c r="BB152" s="46"/>
      <c r="BC152" s="46"/>
      <c r="BD152" s="46"/>
      <c r="CH152"/>
      <c r="CI152"/>
      <c r="CJ152"/>
      <c r="CK152"/>
      <c r="CL152"/>
      <c r="CM152"/>
    </row>
    <row r="153" spans="1:91">
      <c r="A153" s="156"/>
      <c r="B153" s="156"/>
      <c r="C153" s="156"/>
      <c r="D153" s="156"/>
      <c r="E153" s="169"/>
      <c r="F153" s="156"/>
      <c r="G153" s="156"/>
      <c r="H153" s="156"/>
      <c r="I153" s="156"/>
      <c r="J153" s="156"/>
      <c r="K153" s="156"/>
      <c r="L153" s="156"/>
      <c r="M153" s="156"/>
      <c r="N153" s="168"/>
      <c r="O153" s="169"/>
      <c r="P153" s="156"/>
      <c r="Q153" s="156"/>
      <c r="R153" s="170"/>
      <c r="S153" s="170"/>
      <c r="T153" s="170"/>
      <c r="U153" s="170"/>
      <c r="V153" s="170"/>
      <c r="W153" s="170"/>
      <c r="X153" s="170"/>
      <c r="Y153" s="170"/>
      <c r="Z153" s="170"/>
      <c r="AA153" s="170"/>
      <c r="AB153" s="170"/>
      <c r="AC153" s="170"/>
      <c r="AD153" s="170"/>
      <c r="AE153" s="170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Y153" s="46"/>
      <c r="AZ153" s="46"/>
      <c r="BA153" s="46"/>
      <c r="BB153" s="46"/>
      <c r="BC153" s="46"/>
      <c r="BD153" s="46"/>
      <c r="CH153"/>
      <c r="CI153"/>
      <c r="CJ153"/>
      <c r="CK153"/>
      <c r="CL153"/>
      <c r="CM153"/>
    </row>
    <row r="154" spans="1:91">
      <c r="A154" s="156"/>
      <c r="B154" s="156"/>
      <c r="C154" s="156"/>
      <c r="D154" s="156"/>
      <c r="E154" s="169"/>
      <c r="F154" s="156"/>
      <c r="G154" s="156"/>
      <c r="H154" s="156"/>
      <c r="I154" s="156"/>
      <c r="J154" s="156"/>
      <c r="K154" s="156"/>
      <c r="L154" s="156"/>
      <c r="M154" s="156"/>
      <c r="N154" s="168"/>
      <c r="O154" s="169"/>
      <c r="P154" s="156"/>
      <c r="Q154" s="156"/>
      <c r="R154" s="170"/>
      <c r="S154" s="170"/>
      <c r="T154" s="170"/>
      <c r="U154" s="170"/>
      <c r="V154" s="170"/>
      <c r="W154" s="170"/>
      <c r="X154" s="170"/>
      <c r="Y154" s="170"/>
      <c r="Z154" s="170"/>
      <c r="AA154" s="170"/>
      <c r="AB154" s="170"/>
      <c r="AC154" s="170"/>
      <c r="AD154" s="170"/>
      <c r="AE154" s="170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Y154" s="46"/>
      <c r="AZ154" s="46"/>
      <c r="BA154" s="46"/>
      <c r="BB154" s="46"/>
      <c r="BC154" s="46"/>
      <c r="BD154" s="46"/>
      <c r="CH154"/>
      <c r="CI154"/>
      <c r="CJ154"/>
      <c r="CK154"/>
      <c r="CL154"/>
      <c r="CM154"/>
    </row>
    <row r="155" spans="1:91">
      <c r="A155" s="156"/>
      <c r="B155" s="156"/>
      <c r="C155" s="156"/>
      <c r="D155" s="156"/>
      <c r="E155" s="169"/>
      <c r="F155" s="156"/>
      <c r="G155" s="156"/>
      <c r="H155" s="156"/>
      <c r="I155" s="156"/>
      <c r="J155" s="156"/>
      <c r="K155" s="156"/>
      <c r="L155" s="156"/>
      <c r="M155" s="156"/>
      <c r="N155" s="168"/>
      <c r="O155" s="169"/>
      <c r="P155" s="156"/>
      <c r="Q155" s="156"/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  <c r="AC155" s="170"/>
      <c r="AD155" s="170"/>
      <c r="AE155" s="170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Y155" s="46"/>
      <c r="AZ155" s="46"/>
      <c r="BA155" s="46"/>
      <c r="BB155" s="46"/>
      <c r="BC155" s="46"/>
      <c r="BD155" s="46"/>
      <c r="CH155"/>
      <c r="CI155"/>
      <c r="CJ155"/>
      <c r="CK155"/>
      <c r="CL155"/>
      <c r="CM155"/>
    </row>
    <row r="156" spans="1:91">
      <c r="A156" s="156"/>
      <c r="B156" s="156"/>
      <c r="C156" s="156"/>
      <c r="D156" s="156"/>
      <c r="E156" s="169"/>
      <c r="F156" s="156"/>
      <c r="G156" s="156"/>
      <c r="H156" s="156"/>
      <c r="I156" s="156"/>
      <c r="J156" s="156"/>
      <c r="K156" s="156"/>
      <c r="L156" s="156"/>
      <c r="M156" s="156"/>
      <c r="N156" s="168"/>
      <c r="O156" s="169"/>
      <c r="P156" s="156"/>
      <c r="Q156" s="156"/>
      <c r="R156" s="170"/>
      <c r="S156" s="170"/>
      <c r="T156" s="170"/>
      <c r="U156" s="170"/>
      <c r="V156" s="170"/>
      <c r="W156" s="170"/>
      <c r="X156" s="170"/>
      <c r="Y156" s="170"/>
      <c r="Z156" s="170"/>
      <c r="AA156" s="170"/>
      <c r="AB156" s="170"/>
      <c r="AC156" s="170"/>
      <c r="AD156" s="170"/>
      <c r="AE156" s="170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Y156" s="46"/>
      <c r="AZ156" s="46"/>
      <c r="BA156" s="46"/>
      <c r="BB156" s="46"/>
      <c r="BC156" s="46"/>
      <c r="BD156" s="46"/>
      <c r="CH156"/>
      <c r="CI156"/>
      <c r="CJ156"/>
      <c r="CK156"/>
      <c r="CL156"/>
      <c r="CM156"/>
    </row>
    <row r="157" spans="1:91">
      <c r="A157" s="156"/>
      <c r="B157" s="156"/>
      <c r="C157" s="156"/>
      <c r="D157" s="156"/>
      <c r="E157" s="169"/>
      <c r="F157" s="156"/>
      <c r="G157" s="156"/>
      <c r="H157" s="156"/>
      <c r="I157" s="156"/>
      <c r="J157" s="156"/>
      <c r="K157" s="156"/>
      <c r="L157" s="156"/>
      <c r="M157" s="156"/>
      <c r="N157" s="168"/>
      <c r="O157" s="169"/>
      <c r="P157" s="156"/>
      <c r="Q157" s="156"/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  <c r="AC157" s="170"/>
      <c r="AD157" s="170"/>
      <c r="AE157" s="170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Y157" s="46"/>
      <c r="AZ157" s="46"/>
      <c r="BA157" s="46"/>
      <c r="BB157" s="46"/>
      <c r="BC157" s="46"/>
      <c r="BD157" s="46"/>
      <c r="CH157"/>
      <c r="CI157"/>
      <c r="CJ157"/>
      <c r="CK157"/>
      <c r="CL157"/>
      <c r="CM157"/>
    </row>
    <row r="158" spans="1:91">
      <c r="A158" s="156"/>
      <c r="B158" s="156"/>
      <c r="C158" s="156"/>
      <c r="D158" s="156"/>
      <c r="E158" s="169"/>
      <c r="F158" s="156"/>
      <c r="G158" s="156"/>
      <c r="H158" s="156"/>
      <c r="I158" s="156"/>
      <c r="J158" s="156"/>
      <c r="K158" s="156"/>
      <c r="L158" s="156"/>
      <c r="M158" s="156"/>
      <c r="N158" s="168"/>
      <c r="O158" s="169"/>
      <c r="P158" s="156"/>
      <c r="Q158" s="156"/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  <c r="AC158" s="170"/>
      <c r="AD158" s="170"/>
      <c r="AE158" s="170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Y158" s="46"/>
      <c r="AZ158" s="46"/>
      <c r="BA158" s="46"/>
      <c r="BB158" s="46"/>
      <c r="BC158" s="46"/>
      <c r="BD158" s="46"/>
      <c r="CH158"/>
      <c r="CI158"/>
      <c r="CJ158"/>
      <c r="CK158"/>
      <c r="CL158"/>
      <c r="CM158"/>
    </row>
    <row r="159" spans="1:91">
      <c r="A159" s="156"/>
      <c r="B159" s="156"/>
      <c r="C159" s="156"/>
      <c r="D159" s="156"/>
      <c r="E159" s="169"/>
      <c r="F159" s="156"/>
      <c r="G159" s="156"/>
      <c r="H159" s="156"/>
      <c r="I159" s="156"/>
      <c r="J159" s="156"/>
      <c r="K159" s="156"/>
      <c r="L159" s="156"/>
      <c r="M159" s="156"/>
      <c r="N159" s="168"/>
      <c r="O159" s="169"/>
      <c r="P159" s="156"/>
      <c r="Q159" s="156"/>
      <c r="R159" s="170"/>
      <c r="S159" s="170"/>
      <c r="T159" s="170"/>
      <c r="U159" s="170"/>
      <c r="V159" s="170"/>
      <c r="W159" s="170"/>
      <c r="X159" s="170"/>
      <c r="Y159" s="170"/>
      <c r="Z159" s="170"/>
      <c r="AA159" s="170"/>
      <c r="AB159" s="170"/>
      <c r="AC159" s="170"/>
      <c r="AD159" s="170"/>
      <c r="AE159" s="170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Y159" s="46"/>
      <c r="AZ159" s="46"/>
      <c r="BA159" s="46"/>
      <c r="BB159" s="46"/>
      <c r="BC159" s="46"/>
      <c r="BD159" s="46"/>
      <c r="CH159"/>
      <c r="CI159"/>
      <c r="CJ159"/>
      <c r="CK159"/>
      <c r="CL159"/>
      <c r="CM159"/>
    </row>
    <row r="160" spans="1:91">
      <c r="A160" s="156"/>
      <c r="B160" s="156"/>
      <c r="C160" s="156"/>
      <c r="D160" s="156"/>
      <c r="E160" s="169"/>
      <c r="F160" s="156"/>
      <c r="G160" s="156"/>
      <c r="H160" s="156"/>
      <c r="I160" s="156"/>
      <c r="J160" s="156"/>
      <c r="K160" s="156"/>
      <c r="L160" s="156"/>
      <c r="M160" s="156"/>
      <c r="N160" s="168"/>
      <c r="O160" s="169"/>
      <c r="P160" s="156"/>
      <c r="Q160" s="156"/>
      <c r="R160" s="170"/>
      <c r="S160" s="170"/>
      <c r="T160" s="170"/>
      <c r="U160" s="170"/>
      <c r="V160" s="170"/>
      <c r="W160" s="170"/>
      <c r="X160" s="170"/>
      <c r="Y160" s="170"/>
      <c r="Z160" s="170"/>
      <c r="AA160" s="170"/>
      <c r="AB160" s="170"/>
      <c r="AC160" s="170"/>
      <c r="AD160" s="170"/>
      <c r="AE160" s="170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Y160" s="46"/>
      <c r="AZ160" s="46"/>
      <c r="BA160" s="46"/>
      <c r="BB160" s="46"/>
      <c r="BC160" s="46"/>
      <c r="BD160" s="46"/>
      <c r="CH160"/>
      <c r="CI160"/>
      <c r="CJ160"/>
      <c r="CK160"/>
      <c r="CL160"/>
      <c r="CM160"/>
    </row>
    <row r="161" spans="1:91">
      <c r="A161" s="156"/>
      <c r="B161" s="156"/>
      <c r="C161" s="156"/>
      <c r="D161" s="156"/>
      <c r="E161" s="169"/>
      <c r="F161" s="156"/>
      <c r="G161" s="156"/>
      <c r="H161" s="156"/>
      <c r="I161" s="156"/>
      <c r="J161" s="156"/>
      <c r="K161" s="156"/>
      <c r="L161" s="156"/>
      <c r="M161" s="156"/>
      <c r="N161" s="168"/>
      <c r="O161" s="169"/>
      <c r="P161" s="156"/>
      <c r="Q161" s="156"/>
      <c r="R161" s="170"/>
      <c r="S161" s="170"/>
      <c r="T161" s="170"/>
      <c r="U161" s="170"/>
      <c r="V161" s="170"/>
      <c r="W161" s="170"/>
      <c r="X161" s="170"/>
      <c r="Y161" s="170"/>
      <c r="Z161" s="170"/>
      <c r="AA161" s="170"/>
      <c r="AB161" s="170"/>
      <c r="AC161" s="170"/>
      <c r="AD161" s="170"/>
      <c r="AE161" s="170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Y161" s="46"/>
      <c r="AZ161" s="46"/>
      <c r="BA161" s="46"/>
      <c r="BB161" s="46"/>
      <c r="BC161" s="46"/>
      <c r="BD161" s="46"/>
      <c r="CH161"/>
      <c r="CI161"/>
      <c r="CJ161"/>
      <c r="CK161"/>
      <c r="CL161"/>
      <c r="CM161"/>
    </row>
    <row r="162" spans="1:91">
      <c r="A162" s="156"/>
      <c r="B162" s="156"/>
      <c r="C162" s="156"/>
      <c r="D162" s="156"/>
      <c r="E162" s="169"/>
      <c r="F162" s="156"/>
      <c r="G162" s="156"/>
      <c r="H162" s="156"/>
      <c r="I162" s="156"/>
      <c r="J162" s="156"/>
      <c r="K162" s="156"/>
      <c r="L162" s="156"/>
      <c r="M162" s="156"/>
      <c r="N162" s="168"/>
      <c r="O162" s="169"/>
      <c r="P162" s="156"/>
      <c r="Q162" s="156"/>
      <c r="R162" s="170"/>
      <c r="S162" s="170"/>
      <c r="T162" s="170"/>
      <c r="U162" s="170"/>
      <c r="V162" s="170"/>
      <c r="W162" s="170"/>
      <c r="X162" s="170"/>
      <c r="Y162" s="170"/>
      <c r="Z162" s="170"/>
      <c r="AA162" s="170"/>
      <c r="AB162" s="170"/>
      <c r="AC162" s="170"/>
      <c r="AD162" s="170"/>
      <c r="AE162" s="170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Y162" s="46"/>
      <c r="AZ162" s="46"/>
      <c r="BA162" s="46"/>
      <c r="BB162" s="46"/>
      <c r="BC162" s="46"/>
      <c r="BD162" s="46"/>
      <c r="CH162"/>
      <c r="CI162"/>
      <c r="CJ162"/>
      <c r="CK162"/>
      <c r="CL162"/>
      <c r="CM162"/>
    </row>
    <row r="163" spans="1:91">
      <c r="A163" s="156"/>
      <c r="B163" s="156"/>
      <c r="C163" s="156"/>
      <c r="D163" s="156"/>
      <c r="E163" s="169"/>
      <c r="F163" s="156"/>
      <c r="G163" s="156"/>
      <c r="H163" s="156"/>
      <c r="I163" s="156"/>
      <c r="J163" s="156"/>
      <c r="K163" s="156"/>
      <c r="L163" s="156"/>
      <c r="M163" s="156"/>
      <c r="N163" s="168"/>
      <c r="O163" s="169"/>
      <c r="P163" s="156"/>
      <c r="Q163" s="156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Y163" s="46"/>
      <c r="AZ163" s="46"/>
      <c r="BA163" s="46"/>
      <c r="BB163" s="46"/>
      <c r="BC163" s="46"/>
      <c r="BD163" s="46"/>
      <c r="CH163"/>
      <c r="CI163"/>
      <c r="CJ163"/>
      <c r="CK163"/>
      <c r="CL163"/>
      <c r="CM163"/>
    </row>
    <row r="164" spans="1:91">
      <c r="A164" s="156"/>
      <c r="B164" s="156"/>
      <c r="C164" s="156"/>
      <c r="D164" s="156"/>
      <c r="E164" s="169"/>
      <c r="F164" s="156"/>
      <c r="G164" s="156"/>
      <c r="H164" s="156"/>
      <c r="I164" s="156"/>
      <c r="J164" s="156"/>
      <c r="K164" s="156"/>
      <c r="L164" s="156"/>
      <c r="M164" s="156"/>
      <c r="N164" s="168"/>
      <c r="O164" s="169"/>
      <c r="P164" s="156"/>
      <c r="Q164" s="156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Y164" s="46"/>
      <c r="AZ164" s="46"/>
      <c r="BA164" s="46"/>
      <c r="BB164" s="46"/>
      <c r="BC164" s="46"/>
      <c r="BD164" s="46"/>
      <c r="CH164"/>
      <c r="CI164"/>
      <c r="CJ164"/>
      <c r="CK164"/>
      <c r="CL164"/>
      <c r="CM164"/>
    </row>
    <row r="165" spans="1:91">
      <c r="A165" s="156"/>
      <c r="B165" s="156"/>
      <c r="C165" s="156"/>
      <c r="D165" s="156"/>
      <c r="E165" s="169"/>
      <c r="F165" s="156"/>
      <c r="G165" s="156"/>
      <c r="H165" s="156"/>
      <c r="I165" s="156"/>
      <c r="J165" s="156"/>
      <c r="K165" s="156"/>
      <c r="L165" s="156"/>
      <c r="M165" s="156"/>
      <c r="N165" s="168"/>
      <c r="O165" s="169"/>
      <c r="P165" s="156"/>
      <c r="Q165" s="156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Y165" s="46"/>
      <c r="AZ165" s="46"/>
      <c r="BA165" s="46"/>
      <c r="BB165" s="46"/>
      <c r="BC165" s="46"/>
      <c r="BD165" s="46"/>
      <c r="CH165"/>
      <c r="CI165"/>
      <c r="CJ165"/>
      <c r="CK165"/>
      <c r="CL165"/>
      <c r="CM165"/>
    </row>
    <row r="166" spans="1:91">
      <c r="A166" s="156"/>
      <c r="B166" s="156"/>
      <c r="C166" s="156"/>
      <c r="D166" s="156"/>
      <c r="E166" s="169"/>
      <c r="F166" s="156"/>
      <c r="G166" s="156"/>
      <c r="H166" s="156"/>
      <c r="I166" s="156"/>
      <c r="J166" s="156"/>
      <c r="K166" s="156"/>
      <c r="L166" s="156"/>
      <c r="M166" s="156"/>
      <c r="N166" s="168"/>
      <c r="O166" s="169"/>
      <c r="P166" s="156"/>
      <c r="Q166" s="156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Y166" s="46"/>
      <c r="AZ166" s="46"/>
      <c r="BA166" s="46"/>
      <c r="BB166" s="46"/>
      <c r="BC166" s="46"/>
      <c r="BD166" s="46"/>
      <c r="CH166"/>
      <c r="CI166"/>
      <c r="CJ166"/>
      <c r="CK166"/>
      <c r="CL166"/>
      <c r="CM166"/>
    </row>
    <row r="167" spans="1:91">
      <c r="A167" s="156"/>
      <c r="B167" s="156"/>
      <c r="C167" s="156"/>
      <c r="D167" s="156"/>
      <c r="E167" s="169"/>
      <c r="F167" s="156"/>
      <c r="G167" s="156"/>
      <c r="H167" s="156"/>
      <c r="I167" s="156"/>
      <c r="J167" s="156"/>
      <c r="K167" s="156"/>
      <c r="L167" s="156"/>
      <c r="M167" s="156"/>
      <c r="N167" s="168"/>
      <c r="O167" s="169"/>
      <c r="P167" s="156"/>
      <c r="Q167" s="156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Y167" s="46"/>
      <c r="AZ167" s="46"/>
      <c r="BA167" s="46"/>
      <c r="BB167" s="46"/>
      <c r="BC167" s="46"/>
      <c r="BD167" s="46"/>
      <c r="CH167"/>
      <c r="CI167"/>
      <c r="CJ167"/>
      <c r="CK167"/>
      <c r="CL167"/>
      <c r="CM167"/>
    </row>
    <row r="168" spans="1:91">
      <c r="A168" s="156"/>
      <c r="B168" s="156"/>
      <c r="C168" s="156"/>
      <c r="D168" s="156"/>
      <c r="E168" s="169"/>
      <c r="F168" s="156"/>
      <c r="G168" s="156"/>
      <c r="H168" s="156"/>
      <c r="I168" s="156"/>
      <c r="J168" s="156"/>
      <c r="K168" s="156"/>
      <c r="L168" s="156"/>
      <c r="M168" s="156"/>
      <c r="N168" s="168"/>
      <c r="O168" s="169"/>
      <c r="P168" s="156"/>
      <c r="Q168" s="156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Y168" s="46"/>
      <c r="AZ168" s="46"/>
      <c r="BA168" s="46"/>
      <c r="BB168" s="46"/>
      <c r="BC168" s="46"/>
      <c r="BD168" s="46"/>
      <c r="CH168"/>
      <c r="CI168"/>
      <c r="CJ168"/>
      <c r="CK168"/>
      <c r="CL168"/>
      <c r="CM168"/>
    </row>
    <row r="169" spans="1:91">
      <c r="A169" s="156"/>
      <c r="B169" s="156"/>
      <c r="C169" s="156"/>
      <c r="D169" s="156"/>
      <c r="E169" s="169"/>
      <c r="F169" s="156"/>
      <c r="G169" s="156"/>
      <c r="H169" s="156"/>
      <c r="I169" s="156"/>
      <c r="J169" s="156"/>
      <c r="K169" s="156"/>
      <c r="L169" s="156"/>
      <c r="M169" s="156"/>
      <c r="N169" s="168"/>
      <c r="O169" s="169"/>
      <c r="P169" s="156"/>
      <c r="Q169" s="156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Y169" s="46"/>
      <c r="AZ169" s="46"/>
      <c r="BA169" s="46"/>
      <c r="BB169" s="46"/>
      <c r="BC169" s="46"/>
      <c r="BD169" s="46"/>
      <c r="CH169"/>
      <c r="CI169"/>
      <c r="CJ169"/>
      <c r="CK169"/>
      <c r="CL169"/>
      <c r="CM169"/>
    </row>
    <row r="170" spans="1:91">
      <c r="A170" s="156"/>
      <c r="B170" s="156"/>
      <c r="C170" s="156"/>
      <c r="D170" s="156"/>
      <c r="E170" s="169"/>
      <c r="F170" s="156"/>
      <c r="G170" s="156"/>
      <c r="H170" s="156"/>
      <c r="I170" s="156"/>
      <c r="J170" s="156"/>
      <c r="K170" s="156"/>
      <c r="L170" s="156"/>
      <c r="M170" s="156"/>
      <c r="N170" s="168"/>
      <c r="O170" s="169"/>
      <c r="P170" s="156"/>
      <c r="Q170" s="156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Y170" s="46"/>
      <c r="AZ170" s="46"/>
      <c r="BA170" s="46"/>
      <c r="BB170" s="46"/>
      <c r="BC170" s="46"/>
      <c r="BD170" s="46"/>
      <c r="CH170"/>
      <c r="CI170"/>
      <c r="CJ170"/>
      <c r="CK170"/>
      <c r="CL170"/>
      <c r="CM170"/>
    </row>
    <row r="171" spans="1:91">
      <c r="A171" s="156"/>
      <c r="B171" s="156"/>
      <c r="C171" s="156"/>
      <c r="D171" s="156"/>
      <c r="E171" s="169"/>
      <c r="F171" s="156"/>
      <c r="G171" s="156"/>
      <c r="H171" s="156"/>
      <c r="I171" s="156"/>
      <c r="J171" s="156"/>
      <c r="K171" s="156"/>
      <c r="L171" s="156"/>
      <c r="M171" s="156"/>
      <c r="N171" s="168"/>
      <c r="O171" s="169"/>
      <c r="P171" s="156"/>
      <c r="Q171" s="156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Y171" s="46"/>
      <c r="AZ171" s="46"/>
      <c r="BA171" s="46"/>
      <c r="BB171" s="46"/>
      <c r="BC171" s="46"/>
      <c r="BD171" s="46"/>
      <c r="CH171"/>
      <c r="CI171"/>
      <c r="CJ171"/>
      <c r="CK171"/>
      <c r="CL171"/>
      <c r="CM171"/>
    </row>
    <row r="172" spans="1:91">
      <c r="A172" s="156"/>
      <c r="B172" s="156"/>
      <c r="C172" s="156"/>
      <c r="D172" s="156"/>
      <c r="E172" s="169"/>
      <c r="F172" s="156"/>
      <c r="G172" s="156"/>
      <c r="H172" s="156"/>
      <c r="I172" s="156"/>
      <c r="J172" s="156"/>
      <c r="K172" s="156"/>
      <c r="L172" s="156"/>
      <c r="M172" s="156"/>
      <c r="N172" s="168"/>
      <c r="O172" s="169"/>
      <c r="P172" s="156"/>
      <c r="Q172" s="156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Y172" s="46"/>
      <c r="AZ172" s="46"/>
      <c r="BA172" s="46"/>
      <c r="BB172" s="46"/>
      <c r="BC172" s="46"/>
      <c r="BD172" s="46"/>
      <c r="CH172"/>
      <c r="CI172"/>
      <c r="CJ172"/>
      <c r="CK172"/>
      <c r="CL172"/>
      <c r="CM172"/>
    </row>
    <row r="173" spans="1:91" s="121" customFormat="1">
      <c r="A173" s="156"/>
      <c r="B173" s="156"/>
      <c r="C173" s="156"/>
      <c r="D173" s="156"/>
      <c r="E173" s="169"/>
      <c r="F173" s="156"/>
      <c r="G173" s="156"/>
      <c r="H173" s="156"/>
      <c r="I173" s="156"/>
      <c r="J173" s="156"/>
      <c r="K173" s="156"/>
      <c r="L173" s="156"/>
      <c r="M173" s="156"/>
      <c r="N173" s="168"/>
      <c r="O173" s="169"/>
      <c r="P173" s="156"/>
      <c r="Q173" s="156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</row>
    <row r="174" spans="1:91" s="121" customFormat="1">
      <c r="A174" s="156"/>
      <c r="B174" s="156"/>
      <c r="C174" s="156"/>
      <c r="D174" s="156"/>
      <c r="E174" s="169"/>
      <c r="F174" s="156"/>
      <c r="G174" s="156"/>
      <c r="H174" s="156"/>
      <c r="I174" s="156"/>
      <c r="J174" s="156"/>
      <c r="K174" s="156"/>
      <c r="L174" s="156"/>
      <c r="M174" s="156"/>
      <c r="N174" s="168"/>
      <c r="O174" s="169"/>
      <c r="P174" s="156"/>
      <c r="Q174" s="156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</row>
    <row r="175" spans="1:91">
      <c r="A175" s="156"/>
      <c r="B175" s="156"/>
      <c r="C175" s="156"/>
      <c r="D175" s="156"/>
      <c r="E175" s="169"/>
      <c r="F175" s="156"/>
      <c r="G175" s="156"/>
      <c r="H175" s="156"/>
      <c r="I175" s="156"/>
      <c r="J175" s="156"/>
      <c r="K175" s="156"/>
      <c r="L175" s="156"/>
      <c r="M175" s="156"/>
      <c r="N175" s="168"/>
      <c r="O175" s="169"/>
      <c r="P175" s="156"/>
      <c r="Q175" s="156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Y175" s="46"/>
      <c r="AZ175" s="46"/>
      <c r="BA175" s="46"/>
      <c r="BB175" s="46"/>
      <c r="BC175" s="46"/>
      <c r="BD175" s="46"/>
      <c r="CH175"/>
      <c r="CI175"/>
      <c r="CJ175"/>
      <c r="CK175"/>
      <c r="CL175"/>
      <c r="CM175"/>
    </row>
    <row r="176" spans="1:91">
      <c r="A176" s="156"/>
      <c r="B176" s="156"/>
      <c r="C176" s="156"/>
      <c r="D176" s="156"/>
      <c r="E176" s="169"/>
      <c r="F176" s="156"/>
      <c r="G176" s="156"/>
      <c r="H176" s="156"/>
      <c r="I176" s="156"/>
      <c r="J176" s="156"/>
      <c r="K176" s="156"/>
      <c r="L176" s="156"/>
      <c r="M176" s="156"/>
      <c r="N176" s="168"/>
      <c r="O176" s="169"/>
      <c r="P176" s="156"/>
      <c r="Q176" s="156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Y176" s="46"/>
      <c r="AZ176" s="46"/>
      <c r="BA176" s="46"/>
      <c r="BB176" s="46"/>
      <c r="BC176" s="46"/>
      <c r="BD176" s="46"/>
      <c r="CH176"/>
      <c r="CI176"/>
      <c r="CJ176"/>
      <c r="CK176"/>
      <c r="CL176"/>
      <c r="CM176"/>
    </row>
    <row r="177" spans="1:91">
      <c r="A177" s="156"/>
      <c r="B177" s="156"/>
      <c r="C177" s="156"/>
      <c r="D177" s="156"/>
      <c r="E177" s="169"/>
      <c r="F177" s="156"/>
      <c r="G177" s="156"/>
      <c r="H177" s="156"/>
      <c r="I177" s="156"/>
      <c r="J177" s="156"/>
      <c r="K177" s="156"/>
      <c r="L177" s="156"/>
      <c r="M177" s="156"/>
      <c r="N177" s="168"/>
      <c r="O177" s="169"/>
      <c r="P177" s="156"/>
      <c r="Q177" s="156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Y177" s="46"/>
      <c r="AZ177" s="46"/>
      <c r="BA177" s="46"/>
      <c r="BB177" s="46"/>
      <c r="BC177" s="46"/>
      <c r="BD177" s="46"/>
      <c r="CH177"/>
      <c r="CI177"/>
      <c r="CJ177"/>
      <c r="CK177"/>
      <c r="CL177"/>
      <c r="CM177"/>
    </row>
    <row r="178" spans="1:91">
      <c r="A178" s="156"/>
      <c r="B178" s="156"/>
      <c r="C178" s="156"/>
      <c r="D178" s="156"/>
      <c r="E178" s="169"/>
      <c r="F178" s="156"/>
      <c r="G178" s="156"/>
      <c r="H178" s="156"/>
      <c r="I178" s="156"/>
      <c r="J178" s="156"/>
      <c r="K178" s="156"/>
      <c r="L178" s="156"/>
      <c r="M178" s="156"/>
      <c r="N178" s="168"/>
      <c r="O178" s="169"/>
      <c r="P178" s="156"/>
      <c r="Q178" s="156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Y178" s="46"/>
      <c r="AZ178" s="46"/>
      <c r="BA178" s="46"/>
      <c r="BB178" s="46"/>
      <c r="BC178" s="46"/>
      <c r="BD178" s="46"/>
      <c r="CH178"/>
      <c r="CI178"/>
      <c r="CJ178"/>
      <c r="CK178"/>
      <c r="CL178"/>
      <c r="CM178"/>
    </row>
    <row r="179" spans="1:91">
      <c r="A179" s="156"/>
      <c r="B179" s="156"/>
      <c r="C179" s="156"/>
      <c r="D179" s="156"/>
      <c r="E179" s="169"/>
      <c r="F179" s="156"/>
      <c r="G179" s="156"/>
      <c r="H179" s="156"/>
      <c r="I179" s="156"/>
      <c r="J179" s="156"/>
      <c r="K179" s="156"/>
      <c r="L179" s="156"/>
      <c r="M179" s="156"/>
      <c r="N179" s="168"/>
      <c r="O179" s="169"/>
      <c r="P179" s="156"/>
      <c r="Q179" s="156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Y179" s="46"/>
      <c r="AZ179" s="46"/>
      <c r="BA179" s="46"/>
      <c r="BB179" s="46"/>
      <c r="BC179" s="46"/>
      <c r="BD179" s="46"/>
      <c r="CH179"/>
      <c r="CI179"/>
      <c r="CJ179"/>
      <c r="CK179"/>
      <c r="CL179"/>
      <c r="CM179"/>
    </row>
    <row r="180" spans="1:91">
      <c r="A180" s="156"/>
      <c r="B180" s="156"/>
      <c r="C180" s="156"/>
      <c r="D180" s="156"/>
      <c r="E180" s="169"/>
      <c r="F180" s="156"/>
      <c r="G180" s="156"/>
      <c r="H180" s="156"/>
      <c r="I180" s="156"/>
      <c r="J180" s="156"/>
      <c r="K180" s="156"/>
      <c r="L180" s="156"/>
      <c r="M180" s="156"/>
      <c r="N180" s="168"/>
      <c r="O180" s="169"/>
      <c r="P180" s="156"/>
      <c r="Q180" s="156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Y180" s="46"/>
      <c r="AZ180" s="46"/>
      <c r="BA180" s="46"/>
      <c r="BB180" s="46"/>
      <c r="BC180" s="46"/>
      <c r="BD180" s="46"/>
      <c r="CH180"/>
      <c r="CI180"/>
      <c r="CJ180"/>
      <c r="CK180"/>
      <c r="CL180"/>
      <c r="CM180"/>
    </row>
    <row r="181" spans="1:91">
      <c r="A181" s="156"/>
      <c r="B181" s="156"/>
      <c r="C181" s="156"/>
      <c r="D181" s="156"/>
      <c r="E181" s="169"/>
      <c r="F181" s="156"/>
      <c r="G181" s="156"/>
      <c r="H181" s="156"/>
      <c r="I181" s="156"/>
      <c r="J181" s="156"/>
      <c r="K181" s="156"/>
      <c r="L181" s="156"/>
      <c r="M181" s="156"/>
      <c r="N181" s="168"/>
      <c r="O181" s="169"/>
      <c r="P181" s="156"/>
      <c r="Q181" s="156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Y181" s="46"/>
      <c r="AZ181" s="46"/>
      <c r="BA181" s="46"/>
      <c r="BB181" s="46"/>
      <c r="BC181" s="46"/>
      <c r="BD181" s="46"/>
      <c r="CH181"/>
      <c r="CI181"/>
      <c r="CJ181"/>
      <c r="CK181"/>
      <c r="CL181"/>
      <c r="CM181"/>
    </row>
    <row r="182" spans="1:91">
      <c r="A182" s="156"/>
      <c r="B182" s="156"/>
      <c r="C182" s="156"/>
      <c r="D182" s="156"/>
      <c r="E182" s="169"/>
      <c r="F182" s="156"/>
      <c r="G182" s="156"/>
      <c r="H182" s="156"/>
      <c r="I182" s="156"/>
      <c r="J182" s="156"/>
      <c r="K182" s="156"/>
      <c r="L182" s="156"/>
      <c r="M182" s="156"/>
      <c r="N182" s="168"/>
      <c r="O182" s="169"/>
      <c r="P182" s="156"/>
      <c r="Q182" s="156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Y182" s="46"/>
      <c r="AZ182" s="46"/>
      <c r="BA182" s="46"/>
      <c r="BB182" s="46"/>
      <c r="BC182" s="46"/>
      <c r="BD182" s="46"/>
      <c r="CH182"/>
      <c r="CI182"/>
      <c r="CJ182"/>
      <c r="CK182"/>
      <c r="CL182"/>
      <c r="CM182"/>
    </row>
    <row r="183" spans="1:91">
      <c r="A183" s="156"/>
      <c r="B183" s="156"/>
      <c r="C183" s="156"/>
      <c r="D183" s="156"/>
      <c r="E183" s="169"/>
      <c r="F183" s="156"/>
      <c r="G183" s="156"/>
      <c r="H183" s="156"/>
      <c r="I183" s="156"/>
      <c r="J183" s="156"/>
      <c r="K183" s="156"/>
      <c r="L183" s="156"/>
      <c r="M183" s="156"/>
      <c r="N183" s="168"/>
      <c r="O183" s="169"/>
      <c r="P183" s="156"/>
      <c r="Q183" s="156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Y183" s="46"/>
      <c r="AZ183" s="46"/>
      <c r="BA183" s="46"/>
      <c r="BB183" s="46"/>
      <c r="BC183" s="46"/>
      <c r="BD183" s="46"/>
      <c r="CH183"/>
      <c r="CI183"/>
      <c r="CJ183"/>
      <c r="CK183"/>
      <c r="CL183"/>
      <c r="CM183"/>
    </row>
    <row r="184" spans="1:91">
      <c r="A184" s="156"/>
      <c r="B184" s="156"/>
      <c r="C184" s="156"/>
      <c r="D184" s="156"/>
      <c r="E184" s="169"/>
      <c r="F184" s="156"/>
      <c r="G184" s="156"/>
      <c r="H184" s="156"/>
      <c r="I184" s="156"/>
      <c r="J184" s="156"/>
      <c r="K184" s="156"/>
      <c r="L184" s="156"/>
      <c r="M184" s="156"/>
      <c r="N184" s="168"/>
      <c r="O184" s="169"/>
      <c r="P184" s="156"/>
      <c r="Q184" s="156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Y184" s="46"/>
      <c r="AZ184" s="46"/>
      <c r="BA184" s="46"/>
      <c r="BB184" s="46"/>
      <c r="BC184" s="46"/>
      <c r="BD184" s="46"/>
      <c r="CH184"/>
      <c r="CI184"/>
      <c r="CJ184"/>
      <c r="CK184"/>
      <c r="CL184"/>
      <c r="CM184"/>
    </row>
    <row r="185" spans="1:91">
      <c r="A185" s="156"/>
      <c r="B185" s="156"/>
      <c r="C185" s="156"/>
      <c r="D185" s="156"/>
      <c r="E185" s="169"/>
      <c r="F185" s="156"/>
      <c r="G185" s="156"/>
      <c r="H185" s="156"/>
      <c r="I185" s="156"/>
      <c r="J185" s="156"/>
      <c r="K185" s="156"/>
      <c r="L185" s="156"/>
      <c r="M185" s="156"/>
      <c r="N185" s="168"/>
      <c r="O185" s="169"/>
      <c r="P185" s="156"/>
      <c r="Q185" s="156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Y185" s="46"/>
      <c r="AZ185" s="46"/>
      <c r="BA185" s="46"/>
      <c r="BB185" s="46"/>
      <c r="BC185" s="46"/>
      <c r="BD185" s="46"/>
      <c r="CH185"/>
      <c r="CI185"/>
      <c r="CJ185"/>
      <c r="CK185"/>
      <c r="CL185"/>
      <c r="CM185"/>
    </row>
    <row r="186" spans="1:91">
      <c r="A186" s="156"/>
      <c r="B186" s="156"/>
      <c r="C186" s="156"/>
      <c r="D186" s="156"/>
      <c r="E186" s="169"/>
      <c r="F186" s="156"/>
      <c r="G186" s="156"/>
      <c r="H186" s="156"/>
      <c r="I186" s="156"/>
      <c r="J186" s="156"/>
      <c r="K186" s="156"/>
      <c r="L186" s="156"/>
      <c r="M186" s="156"/>
      <c r="N186" s="168"/>
      <c r="O186" s="169"/>
      <c r="P186" s="156"/>
      <c r="Q186" s="156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Y186" s="46"/>
      <c r="AZ186" s="46"/>
      <c r="BA186" s="46"/>
      <c r="BB186" s="46"/>
      <c r="BC186" s="46"/>
      <c r="BD186" s="46"/>
      <c r="CH186"/>
      <c r="CI186"/>
      <c r="CJ186"/>
      <c r="CK186"/>
      <c r="CL186"/>
      <c r="CM186"/>
    </row>
    <row r="187" spans="1:91">
      <c r="A187" s="156"/>
      <c r="B187" s="156"/>
      <c r="C187" s="156"/>
      <c r="D187" s="156"/>
      <c r="E187" s="169"/>
      <c r="F187" s="156"/>
      <c r="G187" s="156"/>
      <c r="H187" s="156"/>
      <c r="I187" s="156"/>
      <c r="J187" s="156"/>
      <c r="K187" s="156"/>
      <c r="L187" s="156"/>
      <c r="M187" s="156"/>
      <c r="N187" s="168"/>
      <c r="O187" s="169"/>
      <c r="P187" s="156"/>
      <c r="Q187" s="156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Y187" s="46"/>
      <c r="AZ187" s="46"/>
      <c r="BA187" s="46"/>
      <c r="BB187" s="46"/>
      <c r="BC187" s="46"/>
      <c r="BD187" s="46"/>
      <c r="CH187"/>
      <c r="CI187"/>
      <c r="CJ187"/>
      <c r="CK187"/>
      <c r="CL187"/>
      <c r="CM187"/>
    </row>
    <row r="188" spans="1:91">
      <c r="A188" s="156"/>
      <c r="B188" s="156"/>
      <c r="C188" s="156"/>
      <c r="D188" s="156"/>
      <c r="E188" s="169"/>
      <c r="F188" s="156"/>
      <c r="G188" s="156"/>
      <c r="H188" s="156"/>
      <c r="I188" s="156"/>
      <c r="J188" s="156"/>
      <c r="K188" s="156"/>
      <c r="L188" s="156"/>
      <c r="M188" s="156"/>
      <c r="N188" s="168"/>
      <c r="O188" s="169"/>
      <c r="P188" s="156"/>
      <c r="Q188" s="156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Y188" s="46"/>
      <c r="AZ188" s="46"/>
      <c r="BA188" s="46"/>
      <c r="BB188" s="46"/>
      <c r="BC188" s="46"/>
      <c r="BD188" s="46"/>
      <c r="CH188"/>
      <c r="CI188"/>
      <c r="CJ188"/>
      <c r="CK188"/>
      <c r="CL188"/>
      <c r="CM188"/>
    </row>
    <row r="189" spans="1:91">
      <c r="A189" s="156"/>
      <c r="B189" s="156"/>
      <c r="C189" s="156"/>
      <c r="D189" s="156"/>
      <c r="E189" s="169"/>
      <c r="F189" s="156"/>
      <c r="G189" s="156"/>
      <c r="H189" s="156"/>
      <c r="I189" s="156"/>
      <c r="J189" s="156"/>
      <c r="K189" s="156"/>
      <c r="L189" s="156"/>
      <c r="M189" s="156"/>
      <c r="N189" s="168"/>
      <c r="O189" s="169"/>
      <c r="P189" s="156"/>
      <c r="Q189" s="156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Y189" s="46"/>
      <c r="AZ189" s="46"/>
      <c r="BA189" s="46"/>
      <c r="BB189" s="46"/>
      <c r="BC189" s="46"/>
      <c r="BD189" s="46"/>
      <c r="CH189"/>
      <c r="CI189"/>
      <c r="CJ189"/>
      <c r="CK189"/>
      <c r="CL189"/>
      <c r="CM189"/>
    </row>
    <row r="190" spans="1:91">
      <c r="A190" s="156"/>
      <c r="B190" s="156"/>
      <c r="C190" s="156"/>
      <c r="D190" s="156"/>
      <c r="E190" s="169"/>
      <c r="F190" s="156"/>
      <c r="G190" s="156"/>
      <c r="H190" s="156"/>
      <c r="I190" s="156"/>
      <c r="J190" s="156"/>
      <c r="K190" s="156"/>
      <c r="L190" s="156"/>
      <c r="M190" s="156"/>
      <c r="N190" s="168"/>
      <c r="O190" s="169"/>
      <c r="P190" s="156"/>
      <c r="Q190" s="156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Y190" s="46"/>
      <c r="AZ190" s="46"/>
      <c r="BA190" s="46"/>
      <c r="BB190" s="46"/>
      <c r="BC190" s="46"/>
      <c r="BD190" s="46"/>
      <c r="CH190"/>
      <c r="CI190"/>
      <c r="CJ190"/>
      <c r="CK190"/>
      <c r="CL190"/>
      <c r="CM190"/>
    </row>
    <row r="191" spans="1:91">
      <c r="A191" s="156"/>
      <c r="B191" s="156"/>
      <c r="C191" s="156"/>
      <c r="D191" s="156"/>
      <c r="E191" s="169"/>
      <c r="F191" s="156"/>
      <c r="G191" s="156"/>
      <c r="H191" s="156"/>
      <c r="I191" s="156"/>
      <c r="J191" s="156"/>
      <c r="K191" s="156"/>
      <c r="L191" s="156"/>
      <c r="M191" s="156"/>
      <c r="N191" s="156"/>
      <c r="O191" s="156"/>
      <c r="P191" s="156"/>
      <c r="Q191" s="156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Y191" s="46"/>
      <c r="AZ191" s="46"/>
      <c r="BA191" s="46"/>
      <c r="BB191" s="46"/>
      <c r="BC191" s="46"/>
      <c r="BD191" s="46"/>
      <c r="CH191"/>
      <c r="CI191"/>
      <c r="CJ191"/>
      <c r="CK191"/>
      <c r="CL191"/>
      <c r="CM191"/>
    </row>
    <row r="192" spans="1:91">
      <c r="A192" s="156"/>
      <c r="B192" s="156"/>
      <c r="C192" s="156"/>
      <c r="D192" s="156"/>
      <c r="E192" s="169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  <c r="P192" s="156"/>
      <c r="Q192" s="156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Y192" s="46"/>
      <c r="AZ192" s="46"/>
      <c r="BA192" s="46"/>
      <c r="BB192" s="46"/>
      <c r="BC192" s="46"/>
      <c r="BD192" s="46"/>
      <c r="CH192"/>
      <c r="CI192"/>
      <c r="CJ192"/>
      <c r="CK192"/>
      <c r="CL192"/>
      <c r="CM192"/>
    </row>
    <row r="193" spans="1:91">
      <c r="A193" s="156"/>
      <c r="B193" s="156"/>
      <c r="C193" s="156"/>
      <c r="D193" s="156"/>
      <c r="E193" s="169"/>
      <c r="F193" s="156"/>
      <c r="G193" s="156"/>
      <c r="H193" s="156"/>
      <c r="I193" s="156"/>
      <c r="J193" s="156"/>
      <c r="K193" s="156"/>
      <c r="L193" s="156"/>
      <c r="M193" s="156"/>
      <c r="N193" s="156"/>
      <c r="O193" s="156"/>
      <c r="P193" s="156"/>
      <c r="Q193" s="156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Y193" s="46"/>
      <c r="AZ193" s="46"/>
      <c r="BA193" s="46"/>
      <c r="BB193" s="46"/>
      <c r="BC193" s="46"/>
      <c r="BD193" s="46"/>
      <c r="CH193"/>
      <c r="CI193"/>
      <c r="CJ193"/>
      <c r="CK193"/>
      <c r="CL193"/>
      <c r="CM193"/>
    </row>
    <row r="194" spans="1:91">
      <c r="A194" s="156"/>
      <c r="B194" s="156"/>
      <c r="C194" s="156"/>
      <c r="D194" s="156"/>
      <c r="E194" s="169"/>
      <c r="F194" s="156"/>
      <c r="G194" s="156"/>
      <c r="H194" s="156"/>
      <c r="I194" s="156"/>
      <c r="J194" s="156"/>
      <c r="K194" s="156"/>
      <c r="L194" s="156"/>
      <c r="M194" s="156"/>
      <c r="N194" s="156"/>
      <c r="O194" s="156"/>
      <c r="P194" s="156"/>
      <c r="Q194" s="156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Y194" s="46"/>
      <c r="AZ194" s="46"/>
      <c r="BA194" s="46"/>
      <c r="BB194" s="46"/>
      <c r="BC194" s="46"/>
      <c r="BD194" s="46"/>
      <c r="CH194"/>
      <c r="CI194"/>
      <c r="CJ194"/>
      <c r="CK194"/>
      <c r="CL194"/>
      <c r="CM194"/>
    </row>
    <row r="195" spans="1:91">
      <c r="A195" s="156"/>
      <c r="B195" s="156"/>
      <c r="C195" s="156"/>
      <c r="D195" s="156"/>
      <c r="E195" s="169"/>
      <c r="F195" s="156"/>
      <c r="G195" s="156"/>
      <c r="H195" s="156"/>
      <c r="I195" s="156"/>
      <c r="J195" s="156"/>
      <c r="K195" s="171"/>
      <c r="L195" s="171"/>
      <c r="M195" s="156"/>
      <c r="N195" s="156"/>
      <c r="O195" s="156"/>
      <c r="P195" s="156"/>
      <c r="Q195" s="156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Y195" s="46"/>
      <c r="AZ195" s="46"/>
      <c r="BA195" s="46"/>
      <c r="BB195" s="46"/>
      <c r="BC195" s="46"/>
      <c r="BD195" s="46"/>
      <c r="CH195"/>
      <c r="CI195"/>
      <c r="CJ195"/>
      <c r="CK195"/>
      <c r="CL195"/>
      <c r="CM195"/>
    </row>
    <row r="196" spans="1:91">
      <c r="A196" s="156"/>
      <c r="B196" s="156"/>
      <c r="C196" s="156"/>
      <c r="D196" s="156"/>
      <c r="E196" s="169"/>
      <c r="F196" s="156"/>
      <c r="G196" s="156"/>
      <c r="H196" s="156"/>
      <c r="I196" s="156"/>
      <c r="J196" s="156"/>
      <c r="K196" s="171"/>
      <c r="L196" s="171"/>
      <c r="M196" s="156"/>
      <c r="N196" s="156"/>
      <c r="O196" s="156"/>
      <c r="P196" s="156"/>
      <c r="Q196" s="156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Y196" s="46"/>
      <c r="AZ196" s="46"/>
      <c r="BA196" s="46"/>
      <c r="BB196" s="46"/>
      <c r="BC196" s="46"/>
      <c r="BD196" s="46"/>
      <c r="CH196"/>
      <c r="CI196"/>
      <c r="CJ196"/>
      <c r="CK196"/>
      <c r="CL196"/>
      <c r="CM196"/>
    </row>
    <row r="197" spans="1:91">
      <c r="A197" s="156"/>
      <c r="B197" s="156"/>
      <c r="C197" s="156"/>
      <c r="D197" s="156"/>
      <c r="E197" s="169"/>
      <c r="F197" s="156"/>
      <c r="G197" s="156"/>
      <c r="H197" s="156"/>
      <c r="I197" s="156"/>
      <c r="J197" s="156"/>
      <c r="K197" s="156"/>
      <c r="L197" s="156"/>
      <c r="M197" s="156"/>
      <c r="N197" s="156"/>
      <c r="O197" s="156"/>
      <c r="P197" s="156"/>
      <c r="Q197" s="156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Y197" s="46"/>
      <c r="AZ197" s="46"/>
      <c r="BA197" s="46"/>
      <c r="BB197" s="46"/>
      <c r="BC197" s="46"/>
      <c r="BD197" s="46"/>
      <c r="CH197"/>
      <c r="CI197"/>
      <c r="CJ197"/>
      <c r="CK197"/>
      <c r="CL197"/>
      <c r="CM197"/>
    </row>
    <row r="198" spans="1:91">
      <c r="A198" s="156"/>
      <c r="B198" s="156"/>
      <c r="C198" s="156"/>
      <c r="D198" s="156"/>
      <c r="E198" s="169"/>
      <c r="F198" s="156"/>
      <c r="G198" s="156"/>
      <c r="H198" s="156"/>
      <c r="I198" s="156"/>
      <c r="J198" s="156"/>
      <c r="K198" s="156"/>
      <c r="L198" s="156"/>
      <c r="M198" s="156"/>
      <c r="N198" s="156"/>
      <c r="O198" s="156"/>
      <c r="P198" s="156"/>
      <c r="Q198" s="156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Y198" s="46"/>
      <c r="AZ198" s="46"/>
      <c r="BA198" s="46"/>
      <c r="BB198" s="46"/>
      <c r="BC198" s="46"/>
      <c r="BD198" s="46"/>
      <c r="CH198"/>
      <c r="CI198"/>
      <c r="CJ198"/>
      <c r="CK198"/>
      <c r="CL198"/>
      <c r="CM198"/>
    </row>
    <row r="199" spans="1:91">
      <c r="A199" s="156"/>
      <c r="B199" s="156"/>
      <c r="C199" s="156"/>
      <c r="D199" s="156"/>
      <c r="E199" s="169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Y199" s="46"/>
      <c r="AZ199" s="46"/>
      <c r="BA199" s="46"/>
      <c r="BB199" s="46"/>
      <c r="BC199" s="46"/>
      <c r="BD199" s="46"/>
      <c r="CH199"/>
      <c r="CI199"/>
      <c r="CJ199"/>
      <c r="CK199"/>
      <c r="CL199"/>
      <c r="CM199"/>
    </row>
    <row r="200" spans="1:91">
      <c r="A200" s="156"/>
      <c r="B200" s="156"/>
      <c r="C200" s="156"/>
      <c r="D200" s="156"/>
      <c r="E200" s="169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  <c r="P200" s="156"/>
      <c r="Q200" s="156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Y200" s="46"/>
      <c r="AZ200" s="46"/>
      <c r="BA200" s="46"/>
      <c r="BB200" s="46"/>
      <c r="BC200" s="46"/>
      <c r="BD200" s="46"/>
      <c r="CH200"/>
      <c r="CI200"/>
      <c r="CJ200"/>
      <c r="CK200"/>
      <c r="CL200"/>
      <c r="CM200"/>
    </row>
    <row r="201" spans="1:91">
      <c r="A201" s="156"/>
      <c r="B201" s="156"/>
      <c r="C201" s="156"/>
      <c r="D201" s="156"/>
      <c r="E201" s="169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  <c r="P201" s="156"/>
      <c r="Q201" s="156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Y201" s="46"/>
      <c r="AZ201" s="46"/>
      <c r="BA201" s="46"/>
      <c r="BB201" s="46"/>
      <c r="BC201" s="46"/>
      <c r="BD201" s="46"/>
      <c r="CH201"/>
      <c r="CI201"/>
      <c r="CJ201"/>
      <c r="CK201"/>
      <c r="CL201"/>
      <c r="CM201"/>
    </row>
    <row r="202" spans="1:91">
      <c r="A202" s="156"/>
      <c r="B202" s="156"/>
      <c r="C202" s="156"/>
      <c r="D202" s="156"/>
      <c r="E202" s="169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Y202" s="46"/>
      <c r="AZ202" s="46"/>
      <c r="BA202" s="46"/>
      <c r="BB202" s="46"/>
      <c r="BC202" s="46"/>
      <c r="BD202" s="46"/>
      <c r="CH202"/>
      <c r="CI202"/>
      <c r="CJ202"/>
      <c r="CK202"/>
      <c r="CL202"/>
      <c r="CM202"/>
    </row>
    <row r="203" spans="1:91">
      <c r="A203" s="156"/>
      <c r="B203" s="156"/>
      <c r="C203" s="156"/>
      <c r="D203" s="156"/>
      <c r="E203" s="169"/>
      <c r="F203" s="156"/>
      <c r="G203" s="156"/>
      <c r="H203" s="156"/>
      <c r="I203" s="156"/>
      <c r="J203" s="156"/>
      <c r="K203" s="156"/>
      <c r="L203" s="156"/>
      <c r="M203" s="156"/>
      <c r="N203" s="156"/>
      <c r="O203" s="156"/>
      <c r="P203" s="156"/>
      <c r="Q203" s="156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Y203" s="46"/>
      <c r="AZ203" s="46"/>
      <c r="BA203" s="46"/>
      <c r="BB203" s="46"/>
      <c r="BC203" s="46"/>
      <c r="BD203" s="46"/>
      <c r="CH203"/>
      <c r="CI203"/>
      <c r="CJ203"/>
      <c r="CK203"/>
      <c r="CL203"/>
      <c r="CM203"/>
    </row>
    <row r="204" spans="1:91">
      <c r="A204" s="156"/>
      <c r="B204" s="156"/>
      <c r="C204" s="156"/>
      <c r="D204" s="156"/>
      <c r="E204" s="169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  <c r="P204" s="156"/>
      <c r="Q204" s="156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Y204" s="46"/>
      <c r="AZ204" s="46"/>
      <c r="BA204" s="46"/>
      <c r="BB204" s="46"/>
      <c r="BC204" s="46"/>
      <c r="BD204" s="46"/>
      <c r="CH204"/>
      <c r="CI204"/>
      <c r="CJ204"/>
      <c r="CK204"/>
      <c r="CL204"/>
      <c r="CM204"/>
    </row>
    <row r="205" spans="1:91">
      <c r="A205" s="156"/>
      <c r="B205" s="156"/>
      <c r="C205" s="156"/>
      <c r="D205" s="156"/>
      <c r="E205" s="169"/>
      <c r="F205" s="156"/>
      <c r="G205" s="156"/>
      <c r="H205" s="156"/>
      <c r="I205" s="156"/>
      <c r="J205" s="156"/>
      <c r="K205" s="156"/>
      <c r="L205" s="156"/>
      <c r="M205" s="156"/>
      <c r="N205" s="156"/>
      <c r="O205" s="156"/>
      <c r="P205" s="156"/>
      <c r="Q205" s="156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Y205" s="46"/>
      <c r="AZ205" s="46"/>
      <c r="BA205" s="46"/>
      <c r="BB205" s="46"/>
      <c r="BC205" s="46"/>
      <c r="BD205" s="46"/>
      <c r="CH205"/>
      <c r="CI205"/>
      <c r="CJ205"/>
      <c r="CK205"/>
      <c r="CL205"/>
      <c r="CM205"/>
    </row>
    <row r="206" spans="1:91">
      <c r="A206" s="156"/>
      <c r="B206" s="156"/>
      <c r="C206" s="156"/>
      <c r="D206" s="156"/>
      <c r="E206" s="169"/>
      <c r="F206" s="156"/>
      <c r="G206" s="156"/>
      <c r="H206" s="156"/>
      <c r="I206" s="156"/>
      <c r="J206" s="156"/>
      <c r="K206" s="156"/>
      <c r="L206" s="156"/>
      <c r="M206" s="156"/>
      <c r="N206" s="156"/>
      <c r="O206" s="156"/>
      <c r="P206" s="156"/>
      <c r="Q206" s="156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Y206" s="46"/>
      <c r="AZ206" s="46"/>
      <c r="BA206" s="46"/>
      <c r="BB206" s="46"/>
      <c r="BC206" s="46"/>
      <c r="BD206" s="46"/>
      <c r="CH206"/>
      <c r="CI206"/>
      <c r="CJ206"/>
      <c r="CK206"/>
      <c r="CL206"/>
      <c r="CM206"/>
    </row>
    <row r="207" spans="1:91">
      <c r="A207" s="156"/>
      <c r="B207" s="156"/>
      <c r="C207" s="156"/>
      <c r="D207" s="156"/>
      <c r="E207" s="169"/>
      <c r="F207" s="156"/>
      <c r="G207" s="156"/>
      <c r="H207" s="156"/>
      <c r="I207" s="156"/>
      <c r="J207" s="156"/>
      <c r="K207" s="156"/>
      <c r="L207" s="156"/>
      <c r="M207" s="156"/>
      <c r="N207" s="156"/>
      <c r="O207" s="156"/>
      <c r="P207" s="156"/>
      <c r="Q207" s="156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Y207" s="46"/>
      <c r="AZ207" s="46"/>
      <c r="BA207" s="46"/>
      <c r="BB207" s="46"/>
      <c r="BC207" s="46"/>
      <c r="BD207" s="46"/>
      <c r="CH207"/>
      <c r="CI207"/>
      <c r="CJ207"/>
      <c r="CK207"/>
      <c r="CL207"/>
      <c r="CM207"/>
    </row>
    <row r="208" spans="1:91">
      <c r="A208" s="156"/>
      <c r="B208" s="156"/>
      <c r="C208" s="156"/>
      <c r="D208" s="156"/>
      <c r="E208" s="169"/>
      <c r="F208" s="156"/>
      <c r="G208" s="156"/>
      <c r="H208" s="156"/>
      <c r="I208" s="156"/>
      <c r="J208" s="156"/>
      <c r="K208" s="156"/>
      <c r="L208" s="156"/>
      <c r="M208" s="156"/>
      <c r="N208" s="156"/>
      <c r="O208" s="156"/>
      <c r="P208" s="156"/>
      <c r="Q208" s="156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Y208" s="46"/>
      <c r="AZ208" s="46"/>
      <c r="BA208" s="46"/>
      <c r="BB208" s="46"/>
      <c r="BC208" s="46"/>
      <c r="BD208" s="46"/>
      <c r="CH208"/>
      <c r="CI208"/>
      <c r="CJ208"/>
      <c r="CK208"/>
      <c r="CL208"/>
      <c r="CM208"/>
    </row>
    <row r="209" spans="1:91">
      <c r="A209" s="156"/>
      <c r="B209" s="156"/>
      <c r="C209" s="156"/>
      <c r="D209" s="156"/>
      <c r="E209" s="169"/>
      <c r="F209" s="156"/>
      <c r="G209" s="156"/>
      <c r="H209" s="156"/>
      <c r="I209" s="156"/>
      <c r="J209" s="156"/>
      <c r="K209" s="156"/>
      <c r="L209" s="156"/>
      <c r="M209" s="156"/>
      <c r="N209" s="156"/>
      <c r="O209" s="156"/>
      <c r="P209" s="156"/>
      <c r="Q209" s="156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Y209" s="46"/>
      <c r="AZ209" s="46"/>
      <c r="BA209" s="46"/>
      <c r="BB209" s="46"/>
      <c r="BC209" s="46"/>
      <c r="BD209" s="46"/>
      <c r="CH209"/>
      <c r="CI209"/>
      <c r="CJ209"/>
      <c r="CK209"/>
      <c r="CL209"/>
      <c r="CM209"/>
    </row>
    <row r="210" spans="1:91">
      <c r="A210" s="156"/>
      <c r="B210" s="156"/>
      <c r="C210" s="156"/>
      <c r="D210" s="156"/>
      <c r="E210" s="169"/>
      <c r="F210" s="156"/>
      <c r="G210" s="156"/>
      <c r="H210" s="156"/>
      <c r="I210" s="156"/>
      <c r="J210" s="156"/>
      <c r="K210" s="156"/>
      <c r="L210" s="156"/>
      <c r="M210" s="156"/>
      <c r="N210" s="156"/>
      <c r="O210" s="156"/>
      <c r="P210" s="156"/>
      <c r="Q210" s="156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Y210" s="46"/>
      <c r="AZ210" s="46"/>
      <c r="BA210" s="46"/>
      <c r="BB210" s="46"/>
      <c r="BC210" s="46"/>
      <c r="BD210" s="46"/>
      <c r="CH210"/>
      <c r="CI210"/>
      <c r="CJ210"/>
      <c r="CK210"/>
      <c r="CL210"/>
      <c r="CM210"/>
    </row>
    <row r="211" spans="1:91">
      <c r="A211" s="156"/>
      <c r="B211" s="156"/>
      <c r="C211" s="156"/>
      <c r="D211" s="156"/>
      <c r="E211" s="169"/>
      <c r="F211" s="156"/>
      <c r="G211" s="156"/>
      <c r="H211" s="156"/>
      <c r="I211" s="156"/>
      <c r="J211" s="156"/>
      <c r="K211" s="156"/>
      <c r="L211" s="156"/>
      <c r="M211" s="156"/>
      <c r="N211" s="156"/>
      <c r="O211" s="156"/>
      <c r="P211" s="156"/>
      <c r="Q211" s="156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Y211" s="46"/>
      <c r="AZ211" s="46"/>
      <c r="BA211" s="46"/>
      <c r="BB211" s="46"/>
      <c r="BC211" s="46"/>
      <c r="BD211" s="46"/>
      <c r="CH211"/>
      <c r="CI211"/>
      <c r="CJ211"/>
      <c r="CK211"/>
      <c r="CL211"/>
      <c r="CM211"/>
    </row>
    <row r="212" spans="1:91">
      <c r="A212" s="156"/>
      <c r="B212" s="156"/>
      <c r="C212" s="156"/>
      <c r="D212" s="156"/>
      <c r="E212" s="169"/>
      <c r="F212" s="156"/>
      <c r="G212" s="156"/>
      <c r="H212" s="156"/>
      <c r="I212" s="156"/>
      <c r="J212" s="156"/>
      <c r="K212" s="156"/>
      <c r="L212" s="156"/>
      <c r="M212" s="156"/>
      <c r="N212" s="156"/>
      <c r="O212" s="156"/>
      <c r="P212" s="156"/>
      <c r="Q212" s="156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Y212" s="46"/>
      <c r="AZ212" s="46"/>
      <c r="BA212" s="46"/>
      <c r="BB212" s="46"/>
      <c r="BC212" s="46"/>
      <c r="BD212" s="46"/>
      <c r="CH212"/>
      <c r="CI212"/>
      <c r="CJ212"/>
      <c r="CK212"/>
      <c r="CL212"/>
      <c r="CM212"/>
    </row>
    <row r="213" spans="1:91">
      <c r="A213" s="156"/>
      <c r="B213" s="156"/>
      <c r="C213" s="156"/>
      <c r="D213" s="156"/>
      <c r="E213" s="169"/>
      <c r="F213" s="156"/>
      <c r="G213" s="156"/>
      <c r="H213" s="156"/>
      <c r="I213" s="156"/>
      <c r="J213" s="156"/>
      <c r="K213" s="156"/>
      <c r="L213" s="156"/>
      <c r="M213" s="156"/>
      <c r="N213" s="156"/>
      <c r="O213" s="156"/>
      <c r="P213" s="156"/>
      <c r="Q213" s="156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Y213" s="46"/>
      <c r="AZ213" s="46"/>
      <c r="BA213" s="46"/>
      <c r="BB213" s="46"/>
      <c r="BC213" s="46"/>
      <c r="BD213" s="46"/>
      <c r="CH213"/>
      <c r="CI213"/>
      <c r="CJ213"/>
      <c r="CK213"/>
      <c r="CL213"/>
      <c r="CM213"/>
    </row>
    <row r="214" spans="1:91">
      <c r="A214" s="156"/>
      <c r="B214" s="156"/>
      <c r="C214" s="156"/>
      <c r="D214" s="156"/>
      <c r="E214" s="169"/>
      <c r="F214" s="156"/>
      <c r="G214" s="156"/>
      <c r="H214" s="156"/>
      <c r="I214" s="156"/>
      <c r="J214" s="156"/>
      <c r="K214" s="156"/>
      <c r="L214" s="156"/>
      <c r="M214" s="156"/>
      <c r="N214" s="156"/>
      <c r="O214" s="156"/>
      <c r="P214" s="156"/>
      <c r="Q214" s="156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Y214" s="46"/>
      <c r="AZ214" s="46"/>
      <c r="BA214" s="46"/>
      <c r="BB214" s="46"/>
      <c r="BC214" s="46"/>
      <c r="BD214" s="46"/>
      <c r="CH214"/>
      <c r="CI214"/>
      <c r="CJ214"/>
      <c r="CK214"/>
      <c r="CL214"/>
      <c r="CM214"/>
    </row>
    <row r="215" spans="1:91">
      <c r="A215" s="156"/>
      <c r="B215" s="156"/>
      <c r="C215" s="156"/>
      <c r="D215" s="156"/>
      <c r="E215" s="169"/>
      <c r="F215" s="156"/>
      <c r="G215" s="156"/>
      <c r="H215" s="156"/>
      <c r="I215" s="156"/>
      <c r="J215" s="156"/>
      <c r="K215" s="156"/>
      <c r="L215" s="156"/>
      <c r="M215" s="156"/>
      <c r="N215" s="156"/>
      <c r="O215" s="156"/>
      <c r="P215" s="156"/>
      <c r="Q215" s="156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Y215" s="46"/>
      <c r="AZ215" s="46"/>
      <c r="BA215" s="46"/>
      <c r="BB215" s="46"/>
      <c r="BC215" s="46"/>
      <c r="BD215" s="46"/>
      <c r="CH215"/>
      <c r="CI215"/>
      <c r="CJ215"/>
      <c r="CK215"/>
      <c r="CL215"/>
      <c r="CM215"/>
    </row>
    <row r="216" spans="1:91">
      <c r="A216" s="156"/>
      <c r="B216" s="156"/>
      <c r="C216" s="156"/>
      <c r="D216" s="156"/>
      <c r="E216" s="169"/>
      <c r="F216" s="156"/>
      <c r="G216" s="156"/>
      <c r="H216" s="156"/>
      <c r="I216" s="156"/>
      <c r="J216" s="156"/>
      <c r="K216" s="156"/>
      <c r="L216" s="156"/>
      <c r="M216" s="156"/>
      <c r="N216" s="156"/>
      <c r="O216" s="156"/>
      <c r="P216" s="156"/>
      <c r="Q216" s="156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Y216" s="46"/>
      <c r="AZ216" s="46"/>
      <c r="BA216" s="46"/>
      <c r="BB216" s="46"/>
      <c r="BC216" s="46"/>
      <c r="BD216" s="46"/>
      <c r="CH216"/>
      <c r="CI216"/>
      <c r="CJ216"/>
      <c r="CK216"/>
      <c r="CL216"/>
      <c r="CM216"/>
    </row>
    <row r="217" spans="1:91">
      <c r="A217" s="156"/>
      <c r="B217" s="156"/>
      <c r="C217" s="156"/>
      <c r="D217" s="156"/>
      <c r="E217" s="169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  <c r="P217" s="156"/>
      <c r="Q217" s="156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Y217" s="46"/>
      <c r="AZ217" s="46"/>
      <c r="BA217" s="46"/>
      <c r="BB217" s="46"/>
      <c r="BC217" s="46"/>
      <c r="BD217" s="46"/>
      <c r="CH217"/>
      <c r="CI217"/>
      <c r="CJ217"/>
      <c r="CK217"/>
      <c r="CL217"/>
      <c r="CM217"/>
    </row>
    <row r="218" spans="1:91">
      <c r="A218" s="156"/>
      <c r="B218" s="156"/>
      <c r="C218" s="156"/>
      <c r="D218" s="156"/>
      <c r="E218" s="169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  <c r="P218" s="156"/>
      <c r="Q218" s="156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Y218" s="46"/>
      <c r="AZ218" s="46"/>
      <c r="BA218" s="46"/>
      <c r="BB218" s="46"/>
      <c r="BC218" s="46"/>
      <c r="BD218" s="46"/>
      <c r="CH218"/>
      <c r="CI218"/>
      <c r="CJ218"/>
      <c r="CK218"/>
      <c r="CL218"/>
      <c r="CM218"/>
    </row>
    <row r="219" spans="1:91">
      <c r="A219" s="156"/>
      <c r="B219" s="156"/>
      <c r="C219" s="156"/>
      <c r="D219" s="156"/>
      <c r="E219" s="169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  <c r="P219" s="156"/>
      <c r="Q219" s="156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Y219" s="46"/>
      <c r="AZ219" s="46"/>
      <c r="BA219" s="46"/>
      <c r="BB219" s="46"/>
      <c r="BC219" s="46"/>
      <c r="BD219" s="46"/>
      <c r="CH219"/>
      <c r="CI219"/>
      <c r="CJ219"/>
      <c r="CK219"/>
      <c r="CL219"/>
      <c r="CM219"/>
    </row>
    <row r="220" spans="1:91">
      <c r="A220" s="156"/>
      <c r="B220" s="156"/>
      <c r="C220" s="156"/>
      <c r="D220" s="156"/>
      <c r="E220" s="169"/>
      <c r="F220" s="156"/>
      <c r="G220" s="156"/>
      <c r="H220" s="156"/>
      <c r="I220" s="156"/>
      <c r="J220" s="156"/>
      <c r="K220" s="156"/>
      <c r="L220" s="156"/>
      <c r="M220" s="156"/>
      <c r="N220" s="156"/>
      <c r="O220" s="156"/>
      <c r="P220" s="156"/>
      <c r="Q220" s="156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Y220" s="46"/>
      <c r="AZ220" s="46"/>
      <c r="BA220" s="46"/>
      <c r="BB220" s="46"/>
      <c r="BC220" s="46"/>
      <c r="BD220" s="46"/>
      <c r="CH220"/>
      <c r="CI220"/>
      <c r="CJ220"/>
      <c r="CK220"/>
      <c r="CL220"/>
      <c r="CM220"/>
    </row>
    <row r="221" spans="1:91">
      <c r="A221" s="156"/>
      <c r="B221" s="156"/>
      <c r="C221" s="156"/>
      <c r="D221" s="156"/>
      <c r="E221" s="169"/>
      <c r="F221" s="156"/>
      <c r="G221" s="156"/>
      <c r="H221" s="156"/>
      <c r="I221" s="156"/>
      <c r="J221" s="156"/>
      <c r="K221" s="156"/>
      <c r="L221" s="156"/>
      <c r="M221" s="156"/>
      <c r="N221" s="156"/>
      <c r="O221" s="156"/>
      <c r="P221" s="156"/>
      <c r="Q221" s="156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Y221" s="46"/>
      <c r="AZ221" s="46"/>
      <c r="BA221" s="46"/>
      <c r="BB221" s="46"/>
      <c r="BC221" s="46"/>
      <c r="BD221" s="46"/>
      <c r="CH221"/>
      <c r="CI221"/>
      <c r="CJ221"/>
      <c r="CK221"/>
      <c r="CL221"/>
      <c r="CM221"/>
    </row>
    <row r="222" spans="1:91">
      <c r="A222" s="156"/>
      <c r="B222" s="156"/>
      <c r="C222" s="156"/>
      <c r="D222" s="156"/>
      <c r="E222" s="169"/>
      <c r="F222" s="156"/>
      <c r="G222" s="156"/>
      <c r="H222" s="156"/>
      <c r="I222" s="156"/>
      <c r="J222" s="156"/>
      <c r="K222" s="156"/>
      <c r="L222" s="156"/>
      <c r="M222" s="156"/>
      <c r="N222" s="156"/>
      <c r="O222" s="156"/>
      <c r="P222" s="156"/>
      <c r="Q222" s="156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Y222" s="46"/>
      <c r="AZ222" s="46"/>
      <c r="BA222" s="46"/>
      <c r="BB222" s="46"/>
      <c r="BC222" s="46"/>
      <c r="BD222" s="46"/>
      <c r="CH222"/>
      <c r="CI222"/>
      <c r="CJ222"/>
      <c r="CK222"/>
      <c r="CL222"/>
      <c r="CM222"/>
    </row>
    <row r="223" spans="1:91">
      <c r="A223" s="156"/>
      <c r="B223" s="156"/>
      <c r="C223" s="156"/>
      <c r="D223" s="156"/>
      <c r="E223" s="169"/>
      <c r="F223" s="156"/>
      <c r="G223" s="156"/>
      <c r="H223" s="156"/>
      <c r="I223" s="156"/>
      <c r="J223" s="156"/>
      <c r="K223" s="156"/>
      <c r="L223" s="156"/>
      <c r="M223" s="156"/>
      <c r="N223" s="156"/>
      <c r="O223" s="156"/>
      <c r="P223" s="156"/>
      <c r="Q223" s="156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Y223" s="46"/>
      <c r="AZ223" s="46"/>
      <c r="BA223" s="46"/>
      <c r="BB223" s="46"/>
      <c r="BC223" s="46"/>
      <c r="BD223" s="46"/>
      <c r="CH223"/>
      <c r="CI223"/>
      <c r="CJ223"/>
      <c r="CK223"/>
      <c r="CL223"/>
      <c r="CM223"/>
    </row>
    <row r="224" spans="1:91">
      <c r="A224" s="156"/>
      <c r="B224" s="156"/>
      <c r="C224" s="156"/>
      <c r="D224" s="156"/>
      <c r="E224" s="169"/>
      <c r="F224" s="156"/>
      <c r="G224" s="156"/>
      <c r="H224" s="156"/>
      <c r="I224" s="156"/>
      <c r="J224" s="156"/>
      <c r="K224" s="156"/>
      <c r="L224" s="156"/>
      <c r="M224" s="156"/>
      <c r="N224" s="156"/>
      <c r="O224" s="156"/>
      <c r="P224" s="156"/>
      <c r="Q224" s="156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Y224" s="46"/>
      <c r="AZ224" s="46"/>
      <c r="BA224" s="46"/>
      <c r="BB224" s="46"/>
      <c r="BC224" s="46"/>
      <c r="BD224" s="46"/>
      <c r="CH224"/>
      <c r="CI224"/>
      <c r="CJ224"/>
      <c r="CK224"/>
      <c r="CL224"/>
      <c r="CM224"/>
    </row>
    <row r="225" spans="1:91">
      <c r="A225" s="156"/>
      <c r="B225" s="156"/>
      <c r="C225" s="156"/>
      <c r="D225" s="156"/>
      <c r="E225" s="169"/>
      <c r="F225" s="156"/>
      <c r="G225" s="156"/>
      <c r="H225" s="156"/>
      <c r="I225" s="156"/>
      <c r="J225" s="156"/>
      <c r="K225" s="156"/>
      <c r="L225" s="156"/>
      <c r="M225" s="156"/>
      <c r="N225" s="156"/>
      <c r="O225" s="156"/>
      <c r="P225" s="156"/>
      <c r="Q225" s="156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Y225" s="46"/>
      <c r="AZ225" s="46"/>
      <c r="BA225" s="46"/>
      <c r="BB225" s="46"/>
      <c r="BC225" s="46"/>
      <c r="BD225" s="46"/>
      <c r="CH225"/>
      <c r="CI225"/>
      <c r="CJ225"/>
      <c r="CK225"/>
      <c r="CL225"/>
      <c r="CM225"/>
    </row>
    <row r="226" spans="1:91">
      <c r="A226" s="156"/>
      <c r="B226" s="156"/>
      <c r="C226" s="156"/>
      <c r="D226" s="156"/>
      <c r="E226" s="169"/>
      <c r="F226" s="156"/>
      <c r="G226" s="156"/>
      <c r="H226" s="156"/>
      <c r="I226" s="156"/>
      <c r="J226" s="156"/>
      <c r="K226" s="156"/>
      <c r="L226" s="156"/>
      <c r="M226" s="156"/>
      <c r="N226" s="156"/>
      <c r="O226" s="156"/>
      <c r="P226" s="156"/>
      <c r="Q226" s="156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Y226" s="46"/>
      <c r="AZ226" s="46"/>
      <c r="BA226" s="46"/>
      <c r="BB226" s="46"/>
      <c r="BC226" s="46"/>
      <c r="BD226" s="46"/>
      <c r="CH226"/>
      <c r="CI226"/>
      <c r="CJ226"/>
      <c r="CK226"/>
      <c r="CL226"/>
      <c r="CM226"/>
    </row>
    <row r="227" spans="1:91">
      <c r="A227" s="156"/>
      <c r="B227" s="156"/>
      <c r="C227" s="156"/>
      <c r="D227" s="156"/>
      <c r="E227" s="169"/>
      <c r="F227" s="156"/>
      <c r="G227" s="156"/>
      <c r="H227" s="156"/>
      <c r="I227" s="156"/>
      <c r="J227" s="156"/>
      <c r="K227" s="156"/>
      <c r="L227" s="156"/>
      <c r="M227" s="156"/>
      <c r="N227" s="156"/>
      <c r="O227" s="156"/>
      <c r="P227" s="156"/>
      <c r="Q227" s="156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Y227" s="46"/>
      <c r="AZ227" s="46"/>
      <c r="BA227" s="46"/>
      <c r="BB227" s="46"/>
      <c r="BC227" s="46"/>
      <c r="BD227" s="46"/>
      <c r="CH227"/>
      <c r="CI227"/>
      <c r="CJ227"/>
      <c r="CK227"/>
      <c r="CL227"/>
      <c r="CM227"/>
    </row>
    <row r="228" spans="1:91">
      <c r="A228" s="156"/>
      <c r="B228" s="156"/>
      <c r="C228" s="156"/>
      <c r="D228" s="156"/>
      <c r="E228" s="169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  <c r="P228" s="156"/>
      <c r="Q228" s="156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Y228" s="46"/>
      <c r="AZ228" s="46"/>
      <c r="BA228" s="46"/>
      <c r="BB228" s="46"/>
      <c r="BC228" s="46"/>
      <c r="BD228" s="46"/>
      <c r="CH228"/>
      <c r="CI228"/>
      <c r="CJ228"/>
      <c r="CK228"/>
      <c r="CL228"/>
      <c r="CM228"/>
    </row>
    <row r="229" spans="1:91">
      <c r="A229" s="156"/>
      <c r="B229" s="156"/>
      <c r="C229" s="156"/>
      <c r="D229" s="156"/>
      <c r="E229" s="169"/>
      <c r="F229" s="156"/>
      <c r="G229" s="156"/>
      <c r="H229" s="156"/>
      <c r="I229" s="156"/>
      <c r="J229" s="156"/>
      <c r="K229" s="156"/>
      <c r="L229" s="156"/>
      <c r="M229" s="156"/>
      <c r="N229" s="156"/>
      <c r="O229" s="156"/>
      <c r="P229" s="156"/>
      <c r="Q229" s="156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Y229" s="46"/>
      <c r="AZ229" s="46"/>
      <c r="BA229" s="46"/>
      <c r="BB229" s="46"/>
      <c r="BC229" s="46"/>
      <c r="BD229" s="46"/>
      <c r="CH229"/>
      <c r="CI229"/>
      <c r="CJ229"/>
      <c r="CK229"/>
      <c r="CL229"/>
      <c r="CM229"/>
    </row>
    <row r="230" spans="1:91">
      <c r="A230" s="156"/>
      <c r="B230" s="156"/>
      <c r="C230" s="156"/>
      <c r="D230" s="156"/>
      <c r="E230" s="169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  <c r="P230" s="156"/>
      <c r="Q230" s="156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Y230" s="46"/>
      <c r="AZ230" s="46"/>
      <c r="BA230" s="46"/>
      <c r="BB230" s="46"/>
      <c r="BC230" s="46"/>
      <c r="BD230" s="46"/>
      <c r="CH230"/>
      <c r="CI230"/>
      <c r="CJ230"/>
      <c r="CK230"/>
      <c r="CL230"/>
      <c r="CM230"/>
    </row>
    <row r="231" spans="1:91">
      <c r="A231" s="156"/>
      <c r="B231" s="156"/>
      <c r="C231" s="156"/>
      <c r="D231" s="156"/>
      <c r="E231" s="169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  <c r="P231" s="156"/>
      <c r="Q231" s="156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Y231" s="46"/>
      <c r="AZ231" s="46"/>
      <c r="BA231" s="46"/>
      <c r="BB231" s="46"/>
      <c r="BC231" s="46"/>
      <c r="BD231" s="46"/>
      <c r="CH231"/>
      <c r="CI231"/>
      <c r="CJ231"/>
      <c r="CK231"/>
      <c r="CL231"/>
      <c r="CM231"/>
    </row>
    <row r="232" spans="1:91">
      <c r="A232" s="156"/>
      <c r="B232" s="156"/>
      <c r="C232" s="156"/>
      <c r="D232" s="156"/>
      <c r="E232" s="169"/>
      <c r="F232" s="156"/>
      <c r="G232" s="156"/>
      <c r="H232" s="156"/>
      <c r="I232" s="156"/>
      <c r="J232" s="156"/>
      <c r="K232" s="156"/>
      <c r="L232" s="156"/>
      <c r="M232" s="156"/>
      <c r="N232" s="156"/>
      <c r="O232" s="156"/>
      <c r="P232" s="156"/>
      <c r="Q232" s="156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Y232" s="46"/>
      <c r="AZ232" s="46"/>
      <c r="BA232" s="46"/>
      <c r="BB232" s="46"/>
      <c r="BC232" s="46"/>
      <c r="BD232" s="46"/>
      <c r="CH232"/>
      <c r="CI232"/>
      <c r="CJ232"/>
      <c r="CK232"/>
      <c r="CL232"/>
      <c r="CM232"/>
    </row>
    <row r="233" spans="1:91">
      <c r="A233" s="156"/>
      <c r="B233" s="156"/>
      <c r="C233" s="156"/>
      <c r="D233" s="156"/>
      <c r="E233" s="169"/>
      <c r="F233" s="156"/>
      <c r="G233" s="156"/>
      <c r="H233" s="156"/>
      <c r="I233" s="156"/>
      <c r="J233" s="156"/>
      <c r="K233" s="156"/>
      <c r="L233" s="156"/>
      <c r="M233" s="156"/>
      <c r="N233" s="156"/>
      <c r="O233" s="156"/>
      <c r="P233" s="156"/>
      <c r="Q233" s="156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Y233" s="46"/>
      <c r="AZ233" s="46"/>
      <c r="BA233" s="46"/>
      <c r="BB233" s="46"/>
      <c r="BC233" s="46"/>
      <c r="BD233" s="46"/>
      <c r="CH233"/>
      <c r="CI233"/>
      <c r="CJ233"/>
      <c r="CK233"/>
      <c r="CL233"/>
      <c r="CM233"/>
    </row>
    <row r="234" spans="1:91">
      <c r="A234" s="156"/>
      <c r="B234" s="156"/>
      <c r="C234" s="156"/>
      <c r="D234" s="156"/>
      <c r="E234" s="169"/>
      <c r="F234" s="156"/>
      <c r="G234" s="156"/>
      <c r="H234" s="156"/>
      <c r="I234" s="156"/>
      <c r="J234" s="156"/>
      <c r="K234" s="156"/>
      <c r="L234" s="156"/>
      <c r="M234" s="156"/>
      <c r="N234" s="156"/>
      <c r="O234" s="156"/>
      <c r="P234" s="156"/>
      <c r="Q234" s="156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Y234" s="46"/>
      <c r="AZ234" s="46"/>
      <c r="BA234" s="46"/>
      <c r="BB234" s="46"/>
      <c r="BC234" s="46"/>
      <c r="BD234" s="46"/>
      <c r="CH234"/>
      <c r="CI234"/>
      <c r="CJ234"/>
      <c r="CK234"/>
      <c r="CL234"/>
      <c r="CM234"/>
    </row>
    <row r="235" spans="1:91">
      <c r="A235" s="156"/>
      <c r="B235" s="156"/>
      <c r="C235" s="156"/>
      <c r="D235" s="156"/>
      <c r="E235" s="169"/>
      <c r="F235" s="156"/>
      <c r="G235" s="156"/>
      <c r="H235" s="156"/>
      <c r="I235" s="156"/>
      <c r="J235" s="156"/>
      <c r="K235" s="156"/>
      <c r="L235" s="156"/>
      <c r="M235" s="156"/>
      <c r="N235" s="156"/>
      <c r="O235" s="156"/>
      <c r="P235" s="156"/>
      <c r="Q235" s="156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Y235" s="46"/>
      <c r="AZ235" s="46"/>
      <c r="BA235" s="46"/>
      <c r="BB235" s="46"/>
      <c r="BC235" s="46"/>
      <c r="BD235" s="46"/>
      <c r="CH235"/>
      <c r="CI235"/>
      <c r="CJ235"/>
      <c r="CK235"/>
      <c r="CL235"/>
      <c r="CM235"/>
    </row>
    <row r="236" spans="1:91">
      <c r="A236" s="44"/>
      <c r="B236" s="44"/>
      <c r="C236" s="44"/>
      <c r="D236" s="157"/>
      <c r="E236" s="165"/>
      <c r="F236" s="157"/>
      <c r="G236" s="157"/>
      <c r="H236" s="157"/>
      <c r="I236" s="157"/>
      <c r="J236" s="157"/>
      <c r="K236" s="157"/>
      <c r="L236" s="157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Y236" s="46"/>
      <c r="AZ236" s="46"/>
      <c r="BA236" s="46"/>
      <c r="BB236" s="46"/>
      <c r="BC236" s="46"/>
      <c r="BD236" s="46"/>
      <c r="CH236"/>
      <c r="CI236"/>
      <c r="CJ236"/>
      <c r="CK236"/>
      <c r="CL236"/>
      <c r="CM236"/>
    </row>
    <row r="237" spans="1:91">
      <c r="A237" s="44"/>
      <c r="B237" s="44"/>
      <c r="C237" s="44"/>
      <c r="D237" s="157"/>
      <c r="E237" s="165"/>
      <c r="F237" s="157"/>
      <c r="G237" s="157"/>
      <c r="H237" s="157"/>
      <c r="I237" s="157"/>
      <c r="J237" s="157"/>
      <c r="K237" s="157"/>
      <c r="L237" s="157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Y237" s="46"/>
      <c r="AZ237" s="46"/>
      <c r="BA237" s="46"/>
      <c r="BB237" s="46"/>
      <c r="BC237" s="46"/>
      <c r="BD237" s="46"/>
      <c r="CH237"/>
      <c r="CI237"/>
      <c r="CJ237"/>
      <c r="CK237"/>
      <c r="CL237"/>
      <c r="CM237"/>
    </row>
    <row r="238" spans="1:91">
      <c r="A238" s="44"/>
      <c r="B238" s="44"/>
      <c r="C238" s="44"/>
      <c r="D238" s="157"/>
      <c r="E238" s="165"/>
      <c r="F238" s="157"/>
      <c r="G238" s="157"/>
      <c r="H238" s="157"/>
      <c r="I238" s="157"/>
      <c r="J238" s="157"/>
      <c r="K238" s="157"/>
      <c r="L238" s="157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Y238" s="46"/>
      <c r="AZ238" s="46"/>
      <c r="BA238" s="46"/>
      <c r="BB238" s="46"/>
      <c r="BC238" s="46"/>
      <c r="BD238" s="46"/>
      <c r="CH238"/>
      <c r="CI238"/>
      <c r="CJ238"/>
      <c r="CK238"/>
      <c r="CL238"/>
      <c r="CM238"/>
    </row>
    <row r="239" spans="1:91">
      <c r="A239" s="44"/>
      <c r="B239" s="44"/>
      <c r="C239" s="44"/>
      <c r="D239" s="157"/>
      <c r="E239" s="165"/>
      <c r="F239" s="157"/>
      <c r="G239" s="157"/>
      <c r="H239" s="157"/>
      <c r="I239" s="157"/>
      <c r="J239" s="157"/>
      <c r="K239" s="157"/>
      <c r="L239" s="157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Y239" s="46"/>
      <c r="AZ239" s="46"/>
      <c r="BA239" s="46"/>
      <c r="BB239" s="46"/>
      <c r="BC239" s="46"/>
      <c r="BD239" s="46"/>
      <c r="CH239"/>
      <c r="CI239"/>
      <c r="CJ239"/>
      <c r="CK239"/>
      <c r="CL239"/>
      <c r="CM239"/>
    </row>
    <row r="240" spans="1:91">
      <c r="A240" s="44"/>
      <c r="B240" s="44"/>
      <c r="C240" s="44"/>
      <c r="D240" s="157"/>
      <c r="E240" s="165"/>
      <c r="F240" s="157"/>
      <c r="G240" s="157"/>
      <c r="H240" s="157"/>
      <c r="I240" s="157"/>
      <c r="J240" s="157"/>
      <c r="K240" s="157"/>
      <c r="L240" s="157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Y240" s="46"/>
      <c r="AZ240" s="46"/>
      <c r="BA240" s="46"/>
      <c r="BB240" s="46"/>
      <c r="BC240" s="46"/>
      <c r="BD240" s="46"/>
      <c r="CH240"/>
      <c r="CI240"/>
      <c r="CJ240"/>
      <c r="CK240"/>
      <c r="CL240"/>
      <c r="CM240"/>
    </row>
    <row r="241" spans="1:91">
      <c r="A241" s="44"/>
      <c r="B241" s="44"/>
      <c r="C241" s="44"/>
      <c r="D241" s="157"/>
      <c r="E241" s="165"/>
      <c r="F241" s="157"/>
      <c r="G241" s="157"/>
      <c r="H241" s="157"/>
      <c r="I241" s="157"/>
      <c r="J241" s="157"/>
      <c r="K241" s="157"/>
      <c r="L241" s="157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Y241" s="46"/>
      <c r="AZ241" s="46"/>
      <c r="BA241" s="46"/>
      <c r="BB241" s="46"/>
      <c r="BC241" s="46"/>
      <c r="BD241" s="46"/>
      <c r="CH241"/>
      <c r="CI241"/>
      <c r="CJ241"/>
      <c r="CK241"/>
      <c r="CL241"/>
      <c r="CM241"/>
    </row>
    <row r="242" spans="1:91">
      <c r="A242" s="44"/>
      <c r="B242" s="44"/>
      <c r="C242" s="44"/>
      <c r="D242" s="157"/>
      <c r="E242" s="165"/>
      <c r="F242" s="157"/>
      <c r="G242" s="157"/>
      <c r="H242" s="157"/>
      <c r="I242" s="157"/>
      <c r="J242" s="157"/>
      <c r="K242" s="157"/>
      <c r="L242" s="157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Y242" s="46"/>
      <c r="AZ242" s="46"/>
      <c r="BA242" s="46"/>
      <c r="BB242" s="46"/>
      <c r="BC242" s="46"/>
      <c r="BD242" s="46"/>
      <c r="CH242"/>
      <c r="CI242"/>
      <c r="CJ242"/>
      <c r="CK242"/>
      <c r="CL242"/>
      <c r="CM242"/>
    </row>
    <row r="243" spans="1:91">
      <c r="A243" s="44"/>
      <c r="B243" s="44"/>
      <c r="C243" s="44"/>
      <c r="D243" s="157"/>
      <c r="E243" s="165"/>
      <c r="F243" s="157"/>
      <c r="G243" s="157"/>
      <c r="H243" s="157"/>
      <c r="I243" s="157"/>
      <c r="J243" s="157"/>
      <c r="K243" s="157"/>
      <c r="L243" s="157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Y243" s="46"/>
      <c r="AZ243" s="46"/>
      <c r="BA243" s="46"/>
      <c r="BB243" s="46"/>
      <c r="BC243" s="46"/>
      <c r="BD243" s="46"/>
      <c r="CH243"/>
      <c r="CI243"/>
      <c r="CJ243"/>
      <c r="CK243"/>
      <c r="CL243"/>
      <c r="CM243"/>
    </row>
    <row r="244" spans="1:91">
      <c r="A244" s="44"/>
      <c r="B244" s="44"/>
      <c r="C244" s="44"/>
      <c r="D244" s="157"/>
      <c r="E244" s="165"/>
      <c r="F244" s="157"/>
      <c r="G244" s="157"/>
      <c r="H244" s="157"/>
      <c r="I244" s="157"/>
      <c r="J244" s="157"/>
      <c r="K244" s="157"/>
      <c r="L244" s="157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Y244" s="46"/>
      <c r="AZ244" s="46"/>
      <c r="BA244" s="46"/>
      <c r="BB244" s="46"/>
      <c r="BC244" s="46"/>
      <c r="BD244" s="46"/>
      <c r="CH244"/>
      <c r="CI244"/>
      <c r="CJ244"/>
      <c r="CK244"/>
      <c r="CL244"/>
      <c r="CM244"/>
    </row>
    <row r="245" spans="1:91">
      <c r="A245" s="44"/>
      <c r="B245" s="44"/>
      <c r="C245" s="44"/>
      <c r="D245" s="157"/>
      <c r="E245" s="165"/>
      <c r="F245" s="157"/>
      <c r="G245" s="157"/>
      <c r="H245" s="157"/>
      <c r="I245" s="157"/>
      <c r="J245" s="157"/>
      <c r="K245" s="157"/>
      <c r="L245" s="157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Y245" s="46"/>
      <c r="AZ245" s="46"/>
      <c r="BA245" s="46"/>
      <c r="BB245" s="46"/>
      <c r="BC245" s="46"/>
      <c r="BD245" s="46"/>
      <c r="CH245"/>
      <c r="CI245"/>
      <c r="CJ245"/>
      <c r="CK245"/>
      <c r="CL245"/>
      <c r="CM245"/>
    </row>
    <row r="246" spans="1:91">
      <c r="A246" s="44"/>
      <c r="B246" s="44"/>
      <c r="C246" s="44"/>
      <c r="D246" s="157"/>
      <c r="E246" s="165"/>
      <c r="F246" s="157"/>
      <c r="G246" s="157"/>
      <c r="H246" s="157"/>
      <c r="I246" s="157"/>
      <c r="J246" s="157"/>
      <c r="K246" s="157"/>
      <c r="L246" s="157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Y246" s="46"/>
      <c r="AZ246" s="46"/>
      <c r="BA246" s="46"/>
      <c r="BB246" s="46"/>
      <c r="BC246" s="46"/>
      <c r="BD246" s="46"/>
      <c r="CH246"/>
      <c r="CI246"/>
      <c r="CJ246"/>
      <c r="CK246"/>
      <c r="CL246"/>
      <c r="CM246"/>
    </row>
    <row r="247" spans="1:91">
      <c r="A247" s="44"/>
      <c r="B247" s="44"/>
      <c r="C247" s="44"/>
      <c r="D247" s="157"/>
      <c r="E247" s="165"/>
      <c r="F247" s="157"/>
      <c r="G247" s="157"/>
      <c r="H247" s="157"/>
      <c r="I247" s="157"/>
      <c r="J247" s="157"/>
      <c r="K247" s="157"/>
      <c r="L247" s="157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Y247" s="46"/>
      <c r="AZ247" s="46"/>
      <c r="BA247" s="46"/>
      <c r="BB247" s="46"/>
      <c r="BC247" s="46"/>
      <c r="BD247" s="46"/>
      <c r="CH247"/>
      <c r="CI247"/>
      <c r="CJ247"/>
      <c r="CK247"/>
      <c r="CL247"/>
      <c r="CM247"/>
    </row>
    <row r="248" spans="1:91">
      <c r="A248" s="44"/>
      <c r="B248" s="44"/>
      <c r="C248" s="44"/>
      <c r="D248" s="157"/>
      <c r="E248" s="165"/>
      <c r="F248" s="157"/>
      <c r="G248" s="157"/>
      <c r="H248" s="157"/>
      <c r="I248" s="157"/>
      <c r="J248" s="157"/>
      <c r="K248" s="157"/>
      <c r="L248" s="157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Y248" s="46"/>
      <c r="AZ248" s="46"/>
      <c r="BA248" s="46"/>
      <c r="BB248" s="46"/>
      <c r="BC248" s="46"/>
      <c r="BD248" s="46"/>
      <c r="CH248"/>
      <c r="CI248"/>
      <c r="CJ248"/>
      <c r="CK248"/>
      <c r="CL248"/>
      <c r="CM248"/>
    </row>
    <row r="249" spans="1:91">
      <c r="A249" s="44"/>
      <c r="B249" s="44"/>
      <c r="C249" s="44"/>
      <c r="D249" s="157"/>
      <c r="E249" s="165"/>
      <c r="F249" s="157"/>
      <c r="G249" s="157"/>
      <c r="H249" s="157"/>
      <c r="I249" s="157"/>
      <c r="J249" s="157"/>
      <c r="K249" s="157"/>
      <c r="L249" s="157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Y249" s="46"/>
      <c r="AZ249" s="46"/>
      <c r="BA249" s="46"/>
      <c r="BB249" s="46"/>
      <c r="BC249" s="46"/>
      <c r="BD249" s="46"/>
      <c r="CH249"/>
      <c r="CI249"/>
      <c r="CJ249"/>
      <c r="CK249"/>
      <c r="CL249"/>
      <c r="CM249"/>
    </row>
    <row r="250" spans="1:91">
      <c r="A250" s="44"/>
      <c r="B250" s="44"/>
      <c r="C250" s="44"/>
      <c r="D250" s="157"/>
      <c r="E250" s="165"/>
      <c r="F250" s="157"/>
      <c r="G250" s="157"/>
      <c r="H250" s="157"/>
      <c r="I250" s="157"/>
      <c r="J250" s="157"/>
      <c r="K250" s="157"/>
      <c r="L250" s="157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Y250" s="46"/>
      <c r="AZ250" s="46"/>
      <c r="BA250" s="46"/>
      <c r="BB250" s="46"/>
      <c r="BC250" s="46"/>
      <c r="BD250" s="46"/>
      <c r="CH250"/>
      <c r="CI250"/>
      <c r="CJ250"/>
      <c r="CK250"/>
      <c r="CL250"/>
      <c r="CM250"/>
    </row>
    <row r="251" spans="1:91">
      <c r="A251" s="44"/>
      <c r="B251" s="44"/>
      <c r="C251" s="44"/>
      <c r="D251" s="157"/>
      <c r="E251" s="165"/>
      <c r="F251" s="157"/>
      <c r="G251" s="157"/>
      <c r="H251" s="157"/>
      <c r="I251" s="157"/>
      <c r="J251" s="157"/>
      <c r="K251" s="157"/>
      <c r="L251" s="157"/>
      <c r="M251" s="44"/>
      <c r="N251" s="44"/>
      <c r="O251" s="44"/>
      <c r="P251" s="44"/>
      <c r="Q251" s="44"/>
      <c r="R251" s="44"/>
      <c r="S251" s="44"/>
      <c r="T251" s="44"/>
      <c r="U251" s="44"/>
      <c r="AY251" s="46"/>
      <c r="AZ251" s="46"/>
      <c r="BA251" s="46"/>
      <c r="BB251" s="46"/>
      <c r="BC251" s="46"/>
      <c r="BD251" s="46"/>
      <c r="CH251"/>
      <c r="CI251"/>
      <c r="CJ251"/>
      <c r="CK251"/>
      <c r="CL251"/>
      <c r="CM251"/>
    </row>
    <row r="252" spans="1:91">
      <c r="A252" s="44"/>
      <c r="B252" s="44"/>
      <c r="C252" s="44"/>
      <c r="D252" s="157"/>
      <c r="E252" s="165"/>
      <c r="F252" s="157"/>
      <c r="G252" s="157"/>
      <c r="H252" s="157"/>
      <c r="I252" s="157"/>
      <c r="J252" s="157"/>
      <c r="K252" s="157"/>
      <c r="L252" s="157"/>
      <c r="M252" s="44"/>
      <c r="N252" s="44"/>
      <c r="O252" s="44"/>
      <c r="P252" s="44"/>
      <c r="Q252" s="44"/>
      <c r="R252" s="44"/>
      <c r="S252" s="44"/>
      <c r="T252" s="44"/>
      <c r="U252" s="44"/>
      <c r="AY252" s="46"/>
      <c r="AZ252" s="46"/>
      <c r="BA252" s="46"/>
      <c r="BB252" s="46"/>
      <c r="BC252" s="46"/>
      <c r="BD252" s="46"/>
      <c r="CH252"/>
      <c r="CI252"/>
      <c r="CJ252"/>
      <c r="CK252"/>
      <c r="CL252"/>
      <c r="CM252"/>
    </row>
    <row r="253" spans="1:91">
      <c r="A253" s="44"/>
      <c r="B253" s="44"/>
      <c r="C253" s="44"/>
      <c r="D253" s="157"/>
      <c r="E253" s="165"/>
      <c r="F253" s="157"/>
      <c r="G253" s="157"/>
      <c r="H253" s="157"/>
      <c r="I253" s="157"/>
      <c r="J253" s="157"/>
      <c r="K253" s="157"/>
      <c r="L253" s="157"/>
      <c r="M253" s="44"/>
      <c r="N253" s="44"/>
      <c r="O253" s="44"/>
      <c r="P253" s="44"/>
      <c r="Q253" s="44"/>
      <c r="R253" s="44"/>
      <c r="S253" s="44"/>
      <c r="T253" s="44"/>
      <c r="U253" s="44"/>
      <c r="AY253" s="46"/>
      <c r="AZ253" s="46"/>
      <c r="BA253" s="46"/>
      <c r="BB253" s="46"/>
      <c r="BC253" s="46"/>
      <c r="BD253" s="46"/>
      <c r="CH253"/>
      <c r="CI253"/>
      <c r="CJ253"/>
      <c r="CK253"/>
      <c r="CL253"/>
      <c r="CM253"/>
    </row>
    <row r="254" spans="1:91">
      <c r="A254" s="44"/>
      <c r="B254" s="44"/>
      <c r="C254" s="44"/>
      <c r="D254" s="157"/>
      <c r="E254" s="165"/>
      <c r="F254" s="157"/>
      <c r="G254" s="157"/>
      <c r="H254" s="157"/>
      <c r="I254" s="157"/>
      <c r="J254" s="157"/>
      <c r="K254" s="157"/>
      <c r="L254" s="157"/>
      <c r="M254" s="44"/>
      <c r="N254" s="44"/>
      <c r="O254" s="44"/>
      <c r="P254" s="44"/>
      <c r="Q254" s="44"/>
      <c r="R254" s="44"/>
      <c r="S254" s="44"/>
      <c r="T254" s="44"/>
      <c r="U254" s="44"/>
      <c r="AY254" s="46"/>
      <c r="AZ254" s="46"/>
      <c r="BA254" s="46"/>
      <c r="BB254" s="46"/>
      <c r="BC254" s="46"/>
      <c r="BD254" s="46"/>
      <c r="CH254"/>
      <c r="CI254"/>
      <c r="CJ254"/>
      <c r="CK254"/>
      <c r="CL254"/>
      <c r="CM254"/>
    </row>
    <row r="255" spans="1:91">
      <c r="A255" s="44"/>
      <c r="B255" s="44"/>
      <c r="C255" s="44"/>
      <c r="D255" s="157"/>
      <c r="E255" s="165"/>
      <c r="F255" s="157"/>
      <c r="G255" s="157"/>
      <c r="H255" s="157"/>
      <c r="I255" s="157"/>
      <c r="J255" s="157"/>
      <c r="K255" s="157"/>
      <c r="L255" s="157"/>
      <c r="M255" s="44"/>
      <c r="N255" s="44"/>
      <c r="O255" s="44"/>
      <c r="P255" s="44"/>
      <c r="Q255" s="44"/>
      <c r="R255" s="44"/>
      <c r="S255" s="44"/>
      <c r="T255" s="44"/>
      <c r="U255" s="44"/>
      <c r="AY255" s="46"/>
      <c r="AZ255" s="46"/>
      <c r="BA255" s="46"/>
      <c r="BB255" s="46"/>
      <c r="BC255" s="46"/>
      <c r="BD255" s="46"/>
      <c r="CH255"/>
      <c r="CI255"/>
      <c r="CJ255"/>
      <c r="CK255"/>
      <c r="CL255"/>
      <c r="CM255"/>
    </row>
    <row r="256" spans="1:91">
      <c r="A256" s="44"/>
      <c r="B256" s="44"/>
      <c r="C256" s="44"/>
      <c r="D256" s="157"/>
      <c r="E256" s="165"/>
      <c r="F256" s="157"/>
      <c r="G256" s="157"/>
      <c r="H256" s="157"/>
      <c r="I256" s="157"/>
      <c r="J256" s="157"/>
      <c r="K256" s="157"/>
      <c r="L256" s="157"/>
      <c r="M256" s="44"/>
      <c r="N256" s="44"/>
      <c r="O256" s="44"/>
      <c r="P256" s="44"/>
      <c r="Q256" s="44"/>
      <c r="R256" s="44"/>
      <c r="S256" s="44"/>
      <c r="T256" s="44"/>
      <c r="U256" s="44"/>
      <c r="AY256" s="46"/>
      <c r="AZ256" s="46"/>
      <c r="BA256" s="46"/>
      <c r="BB256" s="46"/>
      <c r="BC256" s="46"/>
      <c r="BD256" s="46"/>
      <c r="CH256"/>
      <c r="CI256"/>
      <c r="CJ256"/>
      <c r="CK256"/>
      <c r="CL256"/>
      <c r="CM256"/>
    </row>
    <row r="257" spans="4:91">
      <c r="D257" s="26"/>
      <c r="E257" s="165"/>
      <c r="F257" s="26"/>
      <c r="G257" s="26"/>
      <c r="H257" s="26"/>
      <c r="I257" s="26"/>
      <c r="J257" s="26"/>
      <c r="K257" s="26"/>
      <c r="L257" s="26"/>
      <c r="AY257" s="46"/>
      <c r="AZ257" s="46"/>
      <c r="BA257" s="46"/>
      <c r="BB257" s="46"/>
      <c r="BC257" s="46"/>
      <c r="BD257" s="46"/>
      <c r="CH257"/>
      <c r="CI257"/>
      <c r="CJ257"/>
      <c r="CK257"/>
      <c r="CL257"/>
      <c r="CM257"/>
    </row>
    <row r="258" spans="4:91">
      <c r="D258" s="26"/>
      <c r="E258" s="165"/>
      <c r="F258" s="26"/>
      <c r="G258" s="26"/>
      <c r="H258" s="26"/>
      <c r="I258" s="26"/>
      <c r="J258" s="26"/>
      <c r="K258" s="26"/>
      <c r="L258" s="26"/>
      <c r="AY258" s="46"/>
      <c r="AZ258" s="46"/>
      <c r="BA258" s="46"/>
      <c r="BB258" s="46"/>
      <c r="BC258" s="46"/>
      <c r="BD258" s="46"/>
      <c r="CH258"/>
      <c r="CI258"/>
      <c r="CJ258"/>
      <c r="CK258"/>
      <c r="CL258"/>
      <c r="CM258"/>
    </row>
    <row r="259" spans="4:91">
      <c r="D259" s="26"/>
      <c r="E259" s="165"/>
      <c r="F259" s="26"/>
      <c r="G259" s="26"/>
      <c r="H259" s="26"/>
      <c r="I259" s="26"/>
      <c r="J259" s="26"/>
      <c r="K259" s="26"/>
      <c r="L259" s="26"/>
      <c r="AY259" s="46"/>
      <c r="AZ259" s="46"/>
      <c r="BA259" s="46"/>
      <c r="BB259" s="46"/>
      <c r="BC259" s="46"/>
      <c r="BD259" s="46"/>
      <c r="CH259"/>
      <c r="CI259"/>
      <c r="CJ259"/>
      <c r="CK259"/>
      <c r="CL259"/>
      <c r="CM259"/>
    </row>
    <row r="260" spans="4:91">
      <c r="D260" s="26"/>
      <c r="E260" s="165"/>
      <c r="F260" s="26"/>
      <c r="G260" s="26"/>
      <c r="H260" s="26"/>
      <c r="I260" s="26"/>
      <c r="J260" s="26"/>
      <c r="K260" s="26"/>
      <c r="L260" s="26"/>
      <c r="AY260" s="46"/>
      <c r="AZ260" s="46"/>
      <c r="BA260" s="46"/>
      <c r="BB260" s="46"/>
      <c r="BC260" s="46"/>
      <c r="BD260" s="46"/>
      <c r="CH260"/>
      <c r="CI260"/>
      <c r="CJ260"/>
      <c r="CK260"/>
      <c r="CL260"/>
      <c r="CM260"/>
    </row>
  </sheetData>
  <mergeCells count="4">
    <mergeCell ref="K65:L65"/>
    <mergeCell ref="N65:P65"/>
    <mergeCell ref="K129:L129"/>
    <mergeCell ref="R65:S65"/>
  </mergeCells>
  <conditionalFormatting sqref="K21:Q21 S21:Y21 U64:AG64 K22:Y25 K4:Y20 Z4:Z25 K48:AI63 K26:Z47 AA4:AI47">
    <cfRule type="expression" dxfId="11" priority="28">
      <formula>K4&lt;&gt;0</formula>
    </cfRule>
  </conditionalFormatting>
  <conditionalFormatting sqref="K59:K60">
    <cfRule type="expression" dxfId="10" priority="23">
      <formula>K59&lt;&gt;0</formula>
    </cfRule>
  </conditionalFormatting>
  <conditionalFormatting sqref="R21">
    <cfRule type="expression" dxfId="9" priority="18">
      <formula>R21&lt;&gt;0</formula>
    </cfRule>
  </conditionalFormatting>
  <conditionalFormatting sqref="AB67:AC90">
    <cfRule type="cellIs" dxfId="8" priority="8" operator="greaterThan">
      <formula>0.001</formula>
    </cfRule>
  </conditionalFormatting>
  <conditionalFormatting sqref="AC70">
    <cfRule type="cellIs" dxfId="7" priority="7" operator="greaterThan">
      <formula>"1E(-3)"</formula>
    </cfRule>
  </conditionalFormatting>
  <conditionalFormatting sqref="AB67:AC90">
    <cfRule type="cellIs" dxfId="6" priority="6" operator="lessThan">
      <formula>-0.001</formula>
    </cfRule>
  </conditionalFormatting>
  <conditionalFormatting sqref="R67:S126">
    <cfRule type="expression" dxfId="5" priority="5">
      <formula>ABS(R67)&gt;=10%</formula>
    </cfRule>
  </conditionalFormatting>
  <conditionalFormatting sqref="BC5:BC11 BC13:BC19 BD5:BG19 AL5:BB19 AL20:BG20 CD5:CS29 BH5:CC20 AL21:CC29">
    <cfRule type="expression" dxfId="4" priority="3">
      <formula>AL5&lt;&gt;0</formula>
    </cfRule>
  </conditionalFormatting>
  <conditionalFormatting sqref="CO5:CP5">
    <cfRule type="expression" dxfId="3" priority="2">
      <formula>CO5&lt;&gt;0</formula>
    </cfRule>
  </conditionalFormatting>
  <conditionalFormatting sqref="BC12">
    <cfRule type="expression" dxfId="2" priority="1">
      <formula>BC12&lt;&gt;0</formula>
    </cfRule>
  </conditionalFormatting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AC7-5398-5641-82B1-F65671312B85}">
  <dimension ref="B1:R63"/>
  <sheetViews>
    <sheetView zoomScale="80" zoomScaleNormal="80" workbookViewId="0">
      <selection activeCell="H5" sqref="H5"/>
    </sheetView>
  </sheetViews>
  <sheetFormatPr baseColWidth="10" defaultRowHeight="15"/>
  <cols>
    <col min="1" max="1" width="30.33203125" customWidth="1"/>
    <col min="2" max="2" width="70.1640625" customWidth="1"/>
    <col min="3" max="3" width="18.6640625" customWidth="1"/>
    <col min="4" max="4" width="17.6640625" bestFit="1" customWidth="1"/>
    <col min="6" max="6" width="63.83203125" customWidth="1"/>
    <col min="7" max="7" width="24.5" customWidth="1"/>
    <col min="8" max="8" width="25" customWidth="1"/>
    <col min="17" max="17" width="66.33203125" customWidth="1"/>
    <col min="18" max="18" width="23.33203125" customWidth="1"/>
  </cols>
  <sheetData>
    <row r="1" spans="2:18">
      <c r="B1" s="310"/>
      <c r="C1" s="310"/>
      <c r="D1" s="310"/>
    </row>
    <row r="2" spans="2:18" ht="41">
      <c r="B2" s="418" t="s">
        <v>215</v>
      </c>
      <c r="C2" s="418"/>
      <c r="D2" s="418"/>
      <c r="F2" s="418" t="s">
        <v>216</v>
      </c>
      <c r="G2" s="418"/>
      <c r="H2" s="418"/>
      <c r="J2" s="419" t="s">
        <v>217</v>
      </c>
      <c r="K2" s="420"/>
      <c r="L2" s="311"/>
      <c r="M2" s="312" t="s">
        <v>57</v>
      </c>
      <c r="N2" s="313" t="s">
        <v>218</v>
      </c>
    </row>
    <row r="3" spans="2:18" ht="24">
      <c r="B3" s="307" t="s">
        <v>214</v>
      </c>
      <c r="C3" s="306" t="s">
        <v>34</v>
      </c>
      <c r="D3" s="306" t="s">
        <v>9</v>
      </c>
      <c r="F3" s="307" t="s">
        <v>214</v>
      </c>
      <c r="G3" s="306" t="s">
        <v>34</v>
      </c>
      <c r="H3" s="306" t="s">
        <v>9</v>
      </c>
      <c r="J3" s="314" t="s">
        <v>43</v>
      </c>
      <c r="K3" s="314" t="s">
        <v>37</v>
      </c>
      <c r="L3" s="315"/>
      <c r="M3" s="316"/>
      <c r="N3" s="316"/>
      <c r="Q3" s="307" t="s">
        <v>214</v>
      </c>
      <c r="R3" s="306" t="s">
        <v>171</v>
      </c>
    </row>
    <row r="4" spans="2:18" ht="24">
      <c r="B4" s="308" t="s">
        <v>122</v>
      </c>
      <c r="C4" s="305">
        <f>Utilidad!A1</f>
        <v>261455.17020557521</v>
      </c>
      <c r="D4" s="309">
        <f>IF(Utilidad!C1&gt;1,Utilidad!C1/100,Utilidad!C1)</f>
        <v>0</v>
      </c>
      <c r="F4" s="308" t="s">
        <v>122</v>
      </c>
      <c r="G4" s="305">
        <f>Utilidad!B1</f>
        <v>261455.17020557521</v>
      </c>
      <c r="H4" s="309">
        <f>IF(Utilidad!D1&gt;1,Utilidad!D1/100,Utilidad!D1)</f>
        <v>0</v>
      </c>
      <c r="J4" s="317">
        <f>+IF(C4&lt;&gt;0,(G4-C4)/C4,ABS(G4-C4))</f>
        <v>0</v>
      </c>
      <c r="K4" s="317">
        <f>+IF(D4&lt;&gt;0,(H4-D4)/D4,0)</f>
        <v>0</v>
      </c>
      <c r="L4" s="318"/>
      <c r="M4" s="319">
        <f>+IF(J4&lt;&gt;"",ABS(J4),0)</f>
        <v>0</v>
      </c>
      <c r="N4" s="319">
        <f>+IF(J4&lt;&gt;"",ABS(K4),0)</f>
        <v>0</v>
      </c>
      <c r="Q4" s="308" t="s">
        <v>122</v>
      </c>
      <c r="R4" s="309">
        <f>Utilidad!E1</f>
        <v>0.01</v>
      </c>
    </row>
    <row r="5" spans="2:18" ht="24">
      <c r="B5" s="308" t="s">
        <v>123</v>
      </c>
      <c r="C5" s="305">
        <f>Utilidad!A2</f>
        <v>11473.344999999999</v>
      </c>
      <c r="D5" s="309">
        <f>IF(Utilidad!C2&gt;1,Utilidad!C2/100,Utilidad!C2)</f>
        <v>0</v>
      </c>
      <c r="F5" s="308" t="s">
        <v>123</v>
      </c>
      <c r="G5" s="305">
        <f>Utilidad!B2</f>
        <v>11473.344999999999</v>
      </c>
      <c r="H5" s="309">
        <f>IF(Utilidad!D2&gt;1,Utilidad!D2/100,Utilidad!D2)</f>
        <v>0</v>
      </c>
      <c r="J5" s="317">
        <f>+IF(C5&lt;&gt;0,(G5-C5)/C5,ABS(G5-C5))</f>
        <v>0</v>
      </c>
      <c r="K5" s="317">
        <f>+IF(C5&lt;&gt;0,(H5-C5)/C5,0)</f>
        <v>-1</v>
      </c>
      <c r="L5" s="318"/>
      <c r="M5" s="319">
        <f>+IF(J5&lt;&gt;"",ABS(J5),0)</f>
        <v>0</v>
      </c>
      <c r="N5" s="319">
        <f t="shared" ref="N5:N63" si="0">+IF(J5&lt;&gt;"",ABS(K5),0)</f>
        <v>1</v>
      </c>
      <c r="Q5" s="308" t="s">
        <v>123</v>
      </c>
      <c r="R5" s="309">
        <f>Utilidad!E2</f>
        <v>0.01</v>
      </c>
    </row>
    <row r="6" spans="2:18" ht="24">
      <c r="B6" s="308" t="s">
        <v>124</v>
      </c>
      <c r="C6" s="305">
        <f>Utilidad!A3</f>
        <v>249981.82520557521</v>
      </c>
      <c r="D6" s="309">
        <f>IF(Utilidad!C3&gt;1,Utilidad!C3/100,Utilidad!C3)</f>
        <v>0</v>
      </c>
      <c r="F6" s="308" t="s">
        <v>124</v>
      </c>
      <c r="G6" s="305">
        <f>Utilidad!B3</f>
        <v>249981.82520557521</v>
      </c>
      <c r="H6" s="309">
        <f>IF(Utilidad!D3&gt;1,Utilidad!D3/100,Utilidad!D3)</f>
        <v>0</v>
      </c>
      <c r="J6" s="317">
        <f t="shared" ref="J6" si="1">+IF(C6&lt;&gt;0,(G6-C6)/C6,ABS(G6-C6))</f>
        <v>0</v>
      </c>
      <c r="K6" s="317">
        <f t="shared" ref="K6" si="2">+IF(C6&lt;&gt;0,(H6-C6)/C6,0)</f>
        <v>-1</v>
      </c>
      <c r="L6" s="121"/>
      <c r="M6" s="319">
        <f t="shared" ref="M6" si="3">+IF(J6&lt;&gt;"",ABS(J6),0)</f>
        <v>0</v>
      </c>
      <c r="N6" s="319">
        <f t="shared" si="0"/>
        <v>1</v>
      </c>
      <c r="Q6" s="308" t="s">
        <v>124</v>
      </c>
      <c r="R6" s="309">
        <f>Utilidad!E3</f>
        <v>0.01</v>
      </c>
    </row>
    <row r="7" spans="2:18" ht="24">
      <c r="B7" s="308" t="s">
        <v>125</v>
      </c>
      <c r="C7" s="305">
        <f>Utilidad!A4</f>
        <v>-4116.7369201152997</v>
      </c>
      <c r="D7" s="309">
        <f>IF(Utilidad!C4&gt;1,Utilidad!C4/100,Utilidad!C4)</f>
        <v>0</v>
      </c>
      <c r="F7" s="308" t="s">
        <v>125</v>
      </c>
      <c r="G7" s="305">
        <f>Utilidad!B4</f>
        <v>-4116.7369201152997</v>
      </c>
      <c r="H7" s="309">
        <f>IF(Utilidad!D4&gt;1,Utilidad!D4/100,Utilidad!D4)</f>
        <v>0</v>
      </c>
      <c r="J7" s="317">
        <f t="shared" ref="J7:J63" si="4">+IF(C7&lt;&gt;0,(G7-C7)/C7,ABS(G7-C7))</f>
        <v>0</v>
      </c>
      <c r="K7" s="317">
        <f t="shared" ref="K7:K63" si="5">+IF(C7&lt;&gt;0,(H7-C7)/C7,0)</f>
        <v>-1</v>
      </c>
      <c r="L7" s="121"/>
      <c r="M7" s="319">
        <f t="shared" ref="M7:M63" si="6">+IF(J7&lt;&gt;"",ABS(J7),0)</f>
        <v>0</v>
      </c>
      <c r="N7" s="319">
        <f t="shared" si="0"/>
        <v>1</v>
      </c>
      <c r="Q7" s="308" t="s">
        <v>125</v>
      </c>
      <c r="R7" s="309">
        <f>Utilidad!E4</f>
        <v>0.01</v>
      </c>
    </row>
    <row r="8" spans="2:18" ht="24">
      <c r="B8" s="308" t="s">
        <v>126</v>
      </c>
      <c r="C8" s="305">
        <f>Utilidad!A5</f>
        <v>254098.5621256904</v>
      </c>
      <c r="D8" s="309">
        <f>IF(Utilidad!C5&gt;1,Utilidad!C5/100,Utilidad!C5)</f>
        <v>0</v>
      </c>
      <c r="F8" s="308" t="s">
        <v>126</v>
      </c>
      <c r="G8" s="305">
        <f>Utilidad!B5</f>
        <v>254098.5621256904</v>
      </c>
      <c r="H8" s="309">
        <f>IF(Utilidad!D5&gt;1,Utilidad!D5/100,Utilidad!D5)</f>
        <v>0</v>
      </c>
      <c r="J8" s="317">
        <f t="shared" si="4"/>
        <v>0</v>
      </c>
      <c r="K8" s="317">
        <f t="shared" si="5"/>
        <v>-1</v>
      </c>
      <c r="L8" s="121"/>
      <c r="M8" s="319">
        <f t="shared" si="6"/>
        <v>0</v>
      </c>
      <c r="N8" s="319">
        <f t="shared" si="0"/>
        <v>1</v>
      </c>
      <c r="Q8" s="308" t="s">
        <v>126</v>
      </c>
      <c r="R8" s="309">
        <f>Utilidad!E5</f>
        <v>0.01</v>
      </c>
    </row>
    <row r="9" spans="2:18" ht="24">
      <c r="B9" s="308" t="s">
        <v>30</v>
      </c>
      <c r="C9" s="305">
        <f>Utilidad!A6</f>
        <v>693.98717870610005</v>
      </c>
      <c r="D9" s="309">
        <f>IF(Utilidad!C6&gt;1,Utilidad!C6/100,Utilidad!C6)</f>
        <v>0</v>
      </c>
      <c r="F9" s="308" t="s">
        <v>30</v>
      </c>
      <c r="G9" s="305">
        <f>Utilidad!B6</f>
        <v>693.98717870610005</v>
      </c>
      <c r="H9" s="309">
        <f>IF(Utilidad!D6&gt;1,Utilidad!D6/100,Utilidad!D6)</f>
        <v>0</v>
      </c>
      <c r="J9" s="317">
        <f t="shared" si="4"/>
        <v>0</v>
      </c>
      <c r="K9" s="317">
        <f t="shared" si="5"/>
        <v>-1</v>
      </c>
      <c r="L9" s="121"/>
      <c r="M9" s="319">
        <f t="shared" si="6"/>
        <v>0</v>
      </c>
      <c r="N9" s="319">
        <f t="shared" si="0"/>
        <v>1</v>
      </c>
      <c r="Q9" s="308" t="s">
        <v>30</v>
      </c>
      <c r="R9" s="309">
        <f>Utilidad!E6</f>
        <v>0.01</v>
      </c>
    </row>
    <row r="10" spans="2:18" ht="24">
      <c r="B10" s="308" t="s">
        <v>127</v>
      </c>
      <c r="C10" s="305">
        <f>Utilidad!A7</f>
        <v>253404.5749469843</v>
      </c>
      <c r="D10" s="309">
        <f>IF(Utilidad!C7&gt;1,Utilidad!C7/100,Utilidad!C7)</f>
        <v>0</v>
      </c>
      <c r="F10" s="308" t="s">
        <v>127</v>
      </c>
      <c r="G10" s="305">
        <f>Utilidad!B7</f>
        <v>253404.5749469843</v>
      </c>
      <c r="H10" s="309">
        <f>IF(Utilidad!D7&gt;1,Utilidad!D7/100,Utilidad!D7)</f>
        <v>0</v>
      </c>
      <c r="J10" s="317">
        <f t="shared" si="4"/>
        <v>0</v>
      </c>
      <c r="K10" s="317">
        <f t="shared" si="5"/>
        <v>-1</v>
      </c>
      <c r="L10" s="121"/>
      <c r="M10" s="319">
        <f t="shared" si="6"/>
        <v>0</v>
      </c>
      <c r="N10" s="319">
        <f t="shared" si="0"/>
        <v>1</v>
      </c>
      <c r="Q10" s="308" t="s">
        <v>127</v>
      </c>
      <c r="R10" s="309">
        <f>Utilidad!E7</f>
        <v>0.01</v>
      </c>
    </row>
    <row r="11" spans="2:18" ht="24">
      <c r="B11" s="308" t="s">
        <v>128</v>
      </c>
      <c r="C11" s="305">
        <f>Utilidad!A8</f>
        <v>1500</v>
      </c>
      <c r="D11" s="309">
        <f>IF(Utilidad!C8&gt;1,Utilidad!C8/100,Utilidad!C8)</f>
        <v>0</v>
      </c>
      <c r="F11" s="308" t="s">
        <v>128</v>
      </c>
      <c r="G11" s="305">
        <f>Utilidad!B8</f>
        <v>1500</v>
      </c>
      <c r="H11" s="309">
        <f>IF(Utilidad!D8&gt;1,Utilidad!D8/100,Utilidad!D8)</f>
        <v>0</v>
      </c>
      <c r="J11" s="317">
        <f t="shared" si="4"/>
        <v>0</v>
      </c>
      <c r="K11" s="317">
        <f t="shared" si="5"/>
        <v>-1</v>
      </c>
      <c r="L11" s="121"/>
      <c r="M11" s="319">
        <f t="shared" si="6"/>
        <v>0</v>
      </c>
      <c r="N11" s="319">
        <f t="shared" si="0"/>
        <v>1</v>
      </c>
      <c r="Q11" s="308" t="s">
        <v>128</v>
      </c>
      <c r="R11" s="309">
        <f>Utilidad!E8</f>
        <v>0.01</v>
      </c>
    </row>
    <row r="12" spans="2:18" ht="24">
      <c r="B12" s="308" t="s">
        <v>129</v>
      </c>
      <c r="C12" s="305">
        <f>Utilidad!A9</f>
        <v>43011</v>
      </c>
      <c r="D12" s="309">
        <f>IF(Utilidad!C9&gt;1,Utilidad!C9/100,Utilidad!C9)</f>
        <v>0</v>
      </c>
      <c r="F12" s="308" t="s">
        <v>129</v>
      </c>
      <c r="G12" s="305">
        <f>Utilidad!B9</f>
        <v>43011</v>
      </c>
      <c r="H12" s="309">
        <f>IF(Utilidad!D9&gt;1,Utilidad!D9/100,Utilidad!D9)</f>
        <v>0</v>
      </c>
      <c r="J12" s="317">
        <f t="shared" si="4"/>
        <v>0</v>
      </c>
      <c r="K12" s="317">
        <f t="shared" si="5"/>
        <v>-1</v>
      </c>
      <c r="L12" s="121"/>
      <c r="M12" s="319">
        <f t="shared" si="6"/>
        <v>0</v>
      </c>
      <c r="N12" s="319">
        <f t="shared" si="0"/>
        <v>1</v>
      </c>
      <c r="Q12" s="308" t="s">
        <v>129</v>
      </c>
      <c r="R12" s="309">
        <f>Utilidad!E9</f>
        <v>0.01</v>
      </c>
    </row>
    <row r="13" spans="2:18" ht="24">
      <c r="B13" s="308" t="s">
        <v>130</v>
      </c>
      <c r="C13" s="305">
        <f>Utilidad!A10</f>
        <v>208893.5749469843</v>
      </c>
      <c r="D13" s="309">
        <f>IF(Utilidad!C10&gt;1,Utilidad!C10/100,Utilidad!C10)</f>
        <v>0</v>
      </c>
      <c r="F13" s="308" t="s">
        <v>130</v>
      </c>
      <c r="G13" s="305">
        <f>Utilidad!B10</f>
        <v>208893.5749469843</v>
      </c>
      <c r="H13" s="309">
        <f>IF(Utilidad!D10&gt;1,Utilidad!D10/100,Utilidad!D10)</f>
        <v>0</v>
      </c>
      <c r="J13" s="317">
        <f t="shared" si="4"/>
        <v>0</v>
      </c>
      <c r="K13" s="317">
        <f t="shared" si="5"/>
        <v>-1</v>
      </c>
      <c r="L13" s="121"/>
      <c r="M13" s="319">
        <f t="shared" si="6"/>
        <v>0</v>
      </c>
      <c r="N13" s="319">
        <f t="shared" si="0"/>
        <v>1</v>
      </c>
      <c r="Q13" s="308" t="s">
        <v>130</v>
      </c>
      <c r="R13" s="309">
        <f>Utilidad!E10</f>
        <v>0.01</v>
      </c>
    </row>
    <row r="14" spans="2:18" ht="24">
      <c r="B14" s="308" t="s">
        <v>131</v>
      </c>
      <c r="C14" s="305">
        <f>Utilidad!A11</f>
        <v>-870</v>
      </c>
      <c r="D14" s="309">
        <f>IF(Utilidad!C11&gt;1,Utilidad!C11/100,Utilidad!C11)</f>
        <v>0</v>
      </c>
      <c r="F14" s="308" t="s">
        <v>131</v>
      </c>
      <c r="G14" s="305">
        <f>Utilidad!B11</f>
        <v>-870</v>
      </c>
      <c r="H14" s="309">
        <f>IF(Utilidad!D11&gt;1,Utilidad!D11/100,Utilidad!D11)</f>
        <v>0</v>
      </c>
      <c r="J14" s="317">
        <f t="shared" si="4"/>
        <v>0</v>
      </c>
      <c r="K14" s="317">
        <f t="shared" si="5"/>
        <v>-1</v>
      </c>
      <c r="L14" s="121"/>
      <c r="M14" s="319">
        <f t="shared" si="6"/>
        <v>0</v>
      </c>
      <c r="N14" s="319">
        <f t="shared" si="0"/>
        <v>1</v>
      </c>
      <c r="Q14" s="308" t="s">
        <v>131</v>
      </c>
      <c r="R14" s="309">
        <f>Utilidad!E11</f>
        <v>0.01</v>
      </c>
    </row>
    <row r="15" spans="2:18" ht="24">
      <c r="B15" s="308" t="s">
        <v>132</v>
      </c>
      <c r="C15" s="305">
        <f>Utilidad!A12</f>
        <v>0</v>
      </c>
      <c r="D15" s="309">
        <f>IF(Utilidad!C12&gt;1,Utilidad!C12/100,Utilidad!C12)</f>
        <v>0</v>
      </c>
      <c r="F15" s="308" t="s">
        <v>132</v>
      </c>
      <c r="G15" s="305">
        <f>Utilidad!B12</f>
        <v>0</v>
      </c>
      <c r="H15" s="309">
        <f>IF(Utilidad!D12&gt;1,Utilidad!D12/100,Utilidad!D12)</f>
        <v>0</v>
      </c>
      <c r="J15" s="317">
        <f t="shared" si="4"/>
        <v>0</v>
      </c>
      <c r="K15" s="317">
        <f t="shared" si="5"/>
        <v>0</v>
      </c>
      <c r="L15" s="121"/>
      <c r="M15" s="319">
        <f t="shared" si="6"/>
        <v>0</v>
      </c>
      <c r="N15" s="319">
        <f t="shared" si="0"/>
        <v>0</v>
      </c>
      <c r="Q15" s="308" t="s">
        <v>132</v>
      </c>
      <c r="R15" s="309">
        <f>Utilidad!E12</f>
        <v>0.01</v>
      </c>
    </row>
    <row r="16" spans="2:18" ht="24">
      <c r="B16" s="308" t="s">
        <v>133</v>
      </c>
      <c r="C16" s="305">
        <f>Utilidad!A13</f>
        <v>209763.5749469843</v>
      </c>
      <c r="D16" s="309">
        <f>IF(Utilidad!C13&gt;1,Utilidad!C13/100,Utilidad!C13)</f>
        <v>0</v>
      </c>
      <c r="F16" s="308" t="s">
        <v>133</v>
      </c>
      <c r="G16" s="305">
        <f>Utilidad!B13</f>
        <v>209763.5749469843</v>
      </c>
      <c r="H16" s="309">
        <f>IF(Utilidad!D13&gt;1,Utilidad!D13/100,Utilidad!D13)</f>
        <v>0</v>
      </c>
      <c r="J16" s="317">
        <f t="shared" si="4"/>
        <v>0</v>
      </c>
      <c r="K16" s="317">
        <f t="shared" si="5"/>
        <v>-1</v>
      </c>
      <c r="L16" s="121"/>
      <c r="M16" s="319">
        <f t="shared" si="6"/>
        <v>0</v>
      </c>
      <c r="N16" s="319">
        <f t="shared" si="0"/>
        <v>1</v>
      </c>
      <c r="Q16" s="308" t="s">
        <v>133</v>
      </c>
      <c r="R16" s="309">
        <f>Utilidad!E13</f>
        <v>0.01</v>
      </c>
    </row>
    <row r="17" spans="2:18" ht="24">
      <c r="B17" s="308" t="s">
        <v>134</v>
      </c>
      <c r="C17" s="305">
        <f>Utilidad!A14</f>
        <v>84629.508799999996</v>
      </c>
      <c r="D17" s="309">
        <f>IF(Utilidad!C14&gt;1,Utilidad!C14/100,Utilidad!C14)</f>
        <v>0</v>
      </c>
      <c r="F17" s="308" t="s">
        <v>134</v>
      </c>
      <c r="G17" s="305">
        <f>Utilidad!B14</f>
        <v>84629.508799999996</v>
      </c>
      <c r="H17" s="309">
        <f>IF(Utilidad!D14&gt;1,Utilidad!D14/100,Utilidad!D14)</f>
        <v>0</v>
      </c>
      <c r="J17" s="317">
        <f t="shared" si="4"/>
        <v>0</v>
      </c>
      <c r="K17" s="317">
        <f t="shared" si="5"/>
        <v>-1</v>
      </c>
      <c r="L17" s="121"/>
      <c r="M17" s="319">
        <f t="shared" si="6"/>
        <v>0</v>
      </c>
      <c r="N17" s="319">
        <f t="shared" si="0"/>
        <v>1</v>
      </c>
      <c r="Q17" s="308" t="s">
        <v>134</v>
      </c>
      <c r="R17" s="309">
        <f>Utilidad!E14</f>
        <v>0.01</v>
      </c>
    </row>
    <row r="18" spans="2:18" ht="24">
      <c r="B18" s="308" t="s">
        <v>135</v>
      </c>
      <c r="C18" s="305">
        <f>Utilidad!A15</f>
        <v>125134.0661469843</v>
      </c>
      <c r="D18" s="309">
        <f>IF(Utilidad!C15&gt;1,Utilidad!C15/100,Utilidad!C15)</f>
        <v>0</v>
      </c>
      <c r="F18" s="308" t="s">
        <v>135</v>
      </c>
      <c r="G18" s="305">
        <f>Utilidad!B15</f>
        <v>125134.0661469843</v>
      </c>
      <c r="H18" s="309">
        <f>IF(Utilidad!D15&gt;1,Utilidad!D15/100,Utilidad!D15)</f>
        <v>0</v>
      </c>
      <c r="J18" s="317">
        <f t="shared" si="4"/>
        <v>0</v>
      </c>
      <c r="K18" s="317">
        <f t="shared" si="5"/>
        <v>-1</v>
      </c>
      <c r="L18" s="121"/>
      <c r="M18" s="319">
        <f t="shared" si="6"/>
        <v>0</v>
      </c>
      <c r="N18" s="319">
        <f t="shared" si="0"/>
        <v>1</v>
      </c>
      <c r="Q18" s="308" t="s">
        <v>135</v>
      </c>
      <c r="R18" s="309">
        <f>Utilidad!E15</f>
        <v>0.01</v>
      </c>
    </row>
    <row r="19" spans="2:18" ht="24">
      <c r="B19" s="308" t="s">
        <v>136</v>
      </c>
      <c r="C19" s="305">
        <f>Utilidad!A16</f>
        <v>0</v>
      </c>
      <c r="D19" s="309">
        <f>IF(Utilidad!C16&gt;1,Utilidad!C16/100,Utilidad!C16)</f>
        <v>0</v>
      </c>
      <c r="F19" s="308" t="s">
        <v>136</v>
      </c>
      <c r="G19" s="305">
        <f>Utilidad!B16</f>
        <v>0</v>
      </c>
      <c r="H19" s="309">
        <f>IF(Utilidad!D16&gt;1,Utilidad!D16/100,Utilidad!D16)</f>
        <v>0</v>
      </c>
      <c r="J19" s="317">
        <f t="shared" si="4"/>
        <v>0</v>
      </c>
      <c r="K19" s="317">
        <f t="shared" si="5"/>
        <v>0</v>
      </c>
      <c r="L19" s="121"/>
      <c r="M19" s="319">
        <f t="shared" si="6"/>
        <v>0</v>
      </c>
      <c r="N19" s="319">
        <f t="shared" si="0"/>
        <v>0</v>
      </c>
      <c r="Q19" s="308" t="s">
        <v>136</v>
      </c>
      <c r="R19" s="309">
        <f>Utilidad!E16</f>
        <v>0.01</v>
      </c>
    </row>
    <row r="20" spans="2:18" ht="24">
      <c r="B20" s="308" t="s">
        <v>137</v>
      </c>
      <c r="C20" s="305">
        <f>Utilidad!A17</f>
        <v>1151.136</v>
      </c>
      <c r="D20" s="309">
        <f>IF(Utilidad!C17&gt;1,Utilidad!C17/100,Utilidad!C17)</f>
        <v>0</v>
      </c>
      <c r="F20" s="308" t="s">
        <v>137</v>
      </c>
      <c r="G20" s="305">
        <f>Utilidad!B17</f>
        <v>1151.136</v>
      </c>
      <c r="H20" s="309">
        <f>IF(Utilidad!D17&gt;1,Utilidad!D17/100,Utilidad!D17)</f>
        <v>0</v>
      </c>
      <c r="J20" s="317">
        <f t="shared" si="4"/>
        <v>0</v>
      </c>
      <c r="K20" s="317">
        <f t="shared" si="5"/>
        <v>-1</v>
      </c>
      <c r="L20" s="121"/>
      <c r="M20" s="319">
        <f t="shared" si="6"/>
        <v>0</v>
      </c>
      <c r="N20" s="319">
        <f t="shared" si="0"/>
        <v>1</v>
      </c>
      <c r="Q20" s="308" t="s">
        <v>137</v>
      </c>
      <c r="R20" s="309">
        <f>Utilidad!E17</f>
        <v>0.01</v>
      </c>
    </row>
    <row r="21" spans="2:18" ht="24">
      <c r="B21" s="308" t="s">
        <v>12</v>
      </c>
      <c r="C21" s="305">
        <f>Utilidad!A18</f>
        <v>0</v>
      </c>
      <c r="D21" s="309">
        <f>IF(Utilidad!C18&gt;1,Utilidad!C18/100,Utilidad!C18)</f>
        <v>0</v>
      </c>
      <c r="F21" s="308" t="s">
        <v>12</v>
      </c>
      <c r="G21" s="305">
        <f>Utilidad!B18</f>
        <v>0</v>
      </c>
      <c r="H21" s="309">
        <f>IF(Utilidad!D18&gt;1,Utilidad!D18/100,Utilidad!D18)</f>
        <v>0</v>
      </c>
      <c r="J21" s="317">
        <f t="shared" si="4"/>
        <v>0</v>
      </c>
      <c r="K21" s="317">
        <f t="shared" si="5"/>
        <v>0</v>
      </c>
      <c r="L21" s="121"/>
      <c r="M21" s="319">
        <f t="shared" si="6"/>
        <v>0</v>
      </c>
      <c r="N21" s="319">
        <f t="shared" si="0"/>
        <v>0</v>
      </c>
      <c r="Q21" s="308" t="s">
        <v>12</v>
      </c>
      <c r="R21" s="309">
        <f>Utilidad!E18</f>
        <v>0.01</v>
      </c>
    </row>
    <row r="22" spans="2:18" ht="24">
      <c r="B22" s="308" t="s">
        <v>138</v>
      </c>
      <c r="C22" s="305">
        <f>Utilidad!A19</f>
        <v>0</v>
      </c>
      <c r="D22" s="309">
        <f>IF(Utilidad!C19&gt;1,Utilidad!C19/100,Utilidad!C19)</f>
        <v>0</v>
      </c>
      <c r="F22" s="308" t="s">
        <v>138</v>
      </c>
      <c r="G22" s="305">
        <f>Utilidad!B19</f>
        <v>0</v>
      </c>
      <c r="H22" s="309">
        <f>IF(Utilidad!D19&gt;1,Utilidad!D19/100,Utilidad!D19)</f>
        <v>0</v>
      </c>
      <c r="J22" s="317">
        <f t="shared" si="4"/>
        <v>0</v>
      </c>
      <c r="K22" s="317">
        <f t="shared" si="5"/>
        <v>0</v>
      </c>
      <c r="L22" s="121"/>
      <c r="M22" s="319">
        <f t="shared" si="6"/>
        <v>0</v>
      </c>
      <c r="N22" s="319">
        <f t="shared" si="0"/>
        <v>0</v>
      </c>
      <c r="Q22" s="308" t="s">
        <v>138</v>
      </c>
      <c r="R22" s="309">
        <f>Utilidad!E19</f>
        <v>0.01</v>
      </c>
    </row>
    <row r="23" spans="2:18" ht="24">
      <c r="B23" s="308" t="s">
        <v>139</v>
      </c>
      <c r="C23" s="305">
        <f>Utilidad!A20</f>
        <v>1151.136</v>
      </c>
      <c r="D23" s="309">
        <f>IF(Utilidad!C20&gt;1,Utilidad!C20/100,Utilidad!C20)</f>
        <v>0</v>
      </c>
      <c r="F23" s="308" t="s">
        <v>139</v>
      </c>
      <c r="G23" s="305">
        <f>Utilidad!B20</f>
        <v>1151.136</v>
      </c>
      <c r="H23" s="309">
        <f>IF(Utilidad!D20&gt;1,Utilidad!D20/100,Utilidad!D20)</f>
        <v>0</v>
      </c>
      <c r="J23" s="317">
        <f t="shared" si="4"/>
        <v>0</v>
      </c>
      <c r="K23" s="317">
        <f t="shared" si="5"/>
        <v>-1</v>
      </c>
      <c r="L23" s="121"/>
      <c r="M23" s="319">
        <f t="shared" si="6"/>
        <v>0</v>
      </c>
      <c r="N23" s="319">
        <f t="shared" si="0"/>
        <v>1</v>
      </c>
      <c r="Q23" s="308" t="s">
        <v>139</v>
      </c>
      <c r="R23" s="309">
        <f>Utilidad!E20</f>
        <v>0.01</v>
      </c>
    </row>
    <row r="24" spans="2:18" ht="24">
      <c r="B24" s="308" t="s">
        <v>140</v>
      </c>
      <c r="C24" s="305">
        <f>Utilidad!A21</f>
        <v>83478.372799999997</v>
      </c>
      <c r="D24" s="309">
        <f>IF(Utilidad!C21&gt;1,Utilidad!C21/100,Utilidad!C21)</f>
        <v>0</v>
      </c>
      <c r="F24" s="308" t="s">
        <v>140</v>
      </c>
      <c r="G24" s="305">
        <f>Utilidad!B21</f>
        <v>83478.372799999997</v>
      </c>
      <c r="H24" s="309">
        <f>IF(Utilidad!D21&gt;1,Utilidad!D21/100,Utilidad!D21)</f>
        <v>0</v>
      </c>
      <c r="J24" s="317">
        <f t="shared" si="4"/>
        <v>0</v>
      </c>
      <c r="K24" s="317">
        <f t="shared" si="5"/>
        <v>-1</v>
      </c>
      <c r="L24" s="121"/>
      <c r="M24" s="319">
        <f t="shared" si="6"/>
        <v>0</v>
      </c>
      <c r="N24" s="319">
        <f t="shared" si="0"/>
        <v>1</v>
      </c>
      <c r="Q24" s="308" t="s">
        <v>140</v>
      </c>
      <c r="R24" s="309">
        <f>Utilidad!E21</f>
        <v>0.01</v>
      </c>
    </row>
    <row r="25" spans="2:18" ht="24">
      <c r="B25" s="308" t="s">
        <v>13</v>
      </c>
      <c r="C25" s="305">
        <f>Utilidad!A22</f>
        <v>87216.858032629694</v>
      </c>
      <c r="D25" s="309">
        <f>IF(Utilidad!C22&gt;1,Utilidad!C22/100,Utilidad!C22)</f>
        <v>0</v>
      </c>
      <c r="F25" s="308" t="s">
        <v>13</v>
      </c>
      <c r="G25" s="305">
        <f>Utilidad!B22</f>
        <v>87216.858032629694</v>
      </c>
      <c r="H25" s="309">
        <f>IF(Utilidad!D22&gt;1,Utilidad!D22/100,Utilidad!D22)</f>
        <v>0</v>
      </c>
      <c r="J25" s="317">
        <f t="shared" si="4"/>
        <v>0</v>
      </c>
      <c r="K25" s="317">
        <f t="shared" si="5"/>
        <v>-1</v>
      </c>
      <c r="L25" s="121"/>
      <c r="M25" s="319">
        <f t="shared" si="6"/>
        <v>0</v>
      </c>
      <c r="N25" s="319">
        <f t="shared" si="0"/>
        <v>1</v>
      </c>
      <c r="Q25" s="308" t="s">
        <v>13</v>
      </c>
      <c r="R25" s="309">
        <f>Utilidad!E22</f>
        <v>0.01</v>
      </c>
    </row>
    <row r="26" spans="2:18" ht="24">
      <c r="B26" s="308" t="s">
        <v>141</v>
      </c>
      <c r="C26" s="305">
        <f>Utilidad!A23</f>
        <v>0</v>
      </c>
      <c r="D26" s="309">
        <f>IF(Utilidad!C23&gt;1,Utilidad!C23/100,Utilidad!C23)</f>
        <v>0</v>
      </c>
      <c r="F26" s="308" t="s">
        <v>141</v>
      </c>
      <c r="G26" s="305">
        <f>Utilidad!B23</f>
        <v>0</v>
      </c>
      <c r="H26" s="309">
        <f>IF(Utilidad!D23&gt;1,Utilidad!D23/100,Utilidad!D23)</f>
        <v>0</v>
      </c>
      <c r="J26" s="317">
        <f t="shared" si="4"/>
        <v>0</v>
      </c>
      <c r="K26" s="317">
        <f t="shared" si="5"/>
        <v>0</v>
      </c>
      <c r="L26" s="121"/>
      <c r="M26" s="319">
        <f t="shared" si="6"/>
        <v>0</v>
      </c>
      <c r="N26" s="319">
        <f t="shared" si="0"/>
        <v>0</v>
      </c>
      <c r="Q26" s="308" t="s">
        <v>141</v>
      </c>
      <c r="R26" s="309">
        <f>Utilidad!E23</f>
        <v>0.01</v>
      </c>
    </row>
    <row r="27" spans="2:18" ht="24">
      <c r="B27" s="308" t="s">
        <v>142</v>
      </c>
      <c r="C27" s="305">
        <f>Utilidad!A24</f>
        <v>7011</v>
      </c>
      <c r="D27" s="309">
        <f>IF(Utilidad!C24&gt;1,Utilidad!C24/100,Utilidad!C24)</f>
        <v>0</v>
      </c>
      <c r="F27" s="308" t="s">
        <v>142</v>
      </c>
      <c r="G27" s="305">
        <f>Utilidad!B24</f>
        <v>7011</v>
      </c>
      <c r="H27" s="309">
        <f>IF(Utilidad!D24&gt;1,Utilidad!D24/100,Utilidad!D24)</f>
        <v>0</v>
      </c>
      <c r="J27" s="317">
        <f t="shared" si="4"/>
        <v>0</v>
      </c>
      <c r="K27" s="317">
        <f t="shared" si="5"/>
        <v>-1</v>
      </c>
      <c r="L27" s="121"/>
      <c r="M27" s="319">
        <f t="shared" si="6"/>
        <v>0</v>
      </c>
      <c r="N27" s="319">
        <f t="shared" si="0"/>
        <v>1</v>
      </c>
      <c r="Q27" s="308" t="s">
        <v>142</v>
      </c>
      <c r="R27" s="309">
        <f>Utilidad!E24</f>
        <v>0.01</v>
      </c>
    </row>
    <row r="28" spans="2:18" ht="24">
      <c r="B28" s="308" t="s">
        <v>143</v>
      </c>
      <c r="C28" s="305">
        <f>Utilidad!A25</f>
        <v>132145.06614698429</v>
      </c>
      <c r="D28" s="309">
        <f>IF(Utilidad!C25&gt;1,Utilidad!C25/100,Utilidad!C25)</f>
        <v>0</v>
      </c>
      <c r="F28" s="308" t="s">
        <v>143</v>
      </c>
      <c r="G28" s="305">
        <f>Utilidad!B25</f>
        <v>132145.06614698429</v>
      </c>
      <c r="H28" s="309">
        <f>IF(Utilidad!D25&gt;1,Utilidad!D25/100,Utilidad!D25)</f>
        <v>0</v>
      </c>
      <c r="J28" s="317">
        <f t="shared" si="4"/>
        <v>0</v>
      </c>
      <c r="K28" s="317">
        <f t="shared" si="5"/>
        <v>-1</v>
      </c>
      <c r="L28" s="121"/>
      <c r="M28" s="319">
        <f t="shared" si="6"/>
        <v>0</v>
      </c>
      <c r="N28" s="319">
        <f t="shared" si="0"/>
        <v>1</v>
      </c>
      <c r="Q28" s="308" t="s">
        <v>143</v>
      </c>
      <c r="R28" s="309">
        <f>Utilidad!E25</f>
        <v>0.01</v>
      </c>
    </row>
    <row r="29" spans="2:18" ht="24">
      <c r="B29" s="308" t="s">
        <v>144</v>
      </c>
      <c r="C29" s="305">
        <f>Utilidad!A26</f>
        <v>11983.055953228601</v>
      </c>
      <c r="D29" s="309">
        <f>IF(Utilidad!C26&gt;1,Utilidad!C26/100,Utilidad!C26)</f>
        <v>0</v>
      </c>
      <c r="F29" s="308" t="s">
        <v>144</v>
      </c>
      <c r="G29" s="305">
        <f>Utilidad!B26</f>
        <v>11983.055953228601</v>
      </c>
      <c r="H29" s="309">
        <f>IF(Utilidad!D26&gt;1,Utilidad!D26/100,Utilidad!D26)</f>
        <v>0</v>
      </c>
      <c r="J29" s="317">
        <f t="shared" si="4"/>
        <v>0</v>
      </c>
      <c r="K29" s="317">
        <f t="shared" si="5"/>
        <v>-1</v>
      </c>
      <c r="L29" s="121"/>
      <c r="M29" s="319">
        <f t="shared" si="6"/>
        <v>0</v>
      </c>
      <c r="N29" s="319">
        <f t="shared" si="0"/>
        <v>1</v>
      </c>
      <c r="Q29" s="308" t="s">
        <v>144</v>
      </c>
      <c r="R29" s="309">
        <f>Utilidad!E26</f>
        <v>0.01</v>
      </c>
    </row>
    <row r="30" spans="2:18" ht="24">
      <c r="B30" s="308" t="s">
        <v>69</v>
      </c>
      <c r="C30" s="305">
        <f>Utilidad!A27</f>
        <v>13097.735953228599</v>
      </c>
      <c r="D30" s="309">
        <f>IF(Utilidad!C27&gt;1,Utilidad!C27/100,Utilidad!C27)</f>
        <v>0</v>
      </c>
      <c r="F30" s="308" t="s">
        <v>69</v>
      </c>
      <c r="G30" s="305">
        <f>Utilidad!B27</f>
        <v>13097.735953228599</v>
      </c>
      <c r="H30" s="309">
        <f>IF(Utilidad!D27&gt;1,Utilidad!D27/100,Utilidad!D27)</f>
        <v>0</v>
      </c>
      <c r="J30" s="317">
        <f t="shared" si="4"/>
        <v>0</v>
      </c>
      <c r="K30" s="317">
        <f t="shared" si="5"/>
        <v>-1</v>
      </c>
      <c r="L30" s="121"/>
      <c r="M30" s="319">
        <f t="shared" si="6"/>
        <v>0</v>
      </c>
      <c r="N30" s="319">
        <f t="shared" si="0"/>
        <v>1</v>
      </c>
      <c r="Q30" s="308" t="s">
        <v>69</v>
      </c>
      <c r="R30" s="309">
        <f>Utilidad!E27</f>
        <v>0.01</v>
      </c>
    </row>
    <row r="31" spans="2:18" ht="24">
      <c r="B31" s="308" t="s">
        <v>145</v>
      </c>
      <c r="C31" s="305">
        <f>Utilidad!A28</f>
        <v>1189.3055953229</v>
      </c>
      <c r="D31" s="309">
        <f>IF(Utilidad!C28&gt;1,Utilidad!C28/100,Utilidad!C28)</f>
        <v>0</v>
      </c>
      <c r="F31" s="308" t="s">
        <v>145</v>
      </c>
      <c r="G31" s="305">
        <f>Utilidad!B28</f>
        <v>1189.3055953229</v>
      </c>
      <c r="H31" s="309">
        <f>IF(Utilidad!D28&gt;1,Utilidad!D28/100,Utilidad!D28)</f>
        <v>0</v>
      </c>
      <c r="J31" s="317">
        <f t="shared" si="4"/>
        <v>0</v>
      </c>
      <c r="K31" s="317">
        <f t="shared" si="5"/>
        <v>-1</v>
      </c>
      <c r="L31" s="121"/>
      <c r="M31" s="319">
        <f t="shared" si="6"/>
        <v>0</v>
      </c>
      <c r="N31" s="319">
        <f t="shared" si="0"/>
        <v>1</v>
      </c>
      <c r="Q31" s="308" t="s">
        <v>145</v>
      </c>
      <c r="R31" s="309">
        <f>Utilidad!E28</f>
        <v>0.01</v>
      </c>
    </row>
    <row r="32" spans="2:18" ht="24">
      <c r="B32" s="308" t="s">
        <v>66</v>
      </c>
      <c r="C32" s="305">
        <f>Utilidad!A29</f>
        <v>1189.3055953229</v>
      </c>
      <c r="D32" s="309">
        <f>IF(Utilidad!C29&gt;1,Utilidad!C29/100,Utilidad!C29)</f>
        <v>0</v>
      </c>
      <c r="F32" s="308" t="s">
        <v>66</v>
      </c>
      <c r="G32" s="305">
        <f>Utilidad!B29</f>
        <v>1189.3055953229</v>
      </c>
      <c r="H32" s="309">
        <f>IF(Utilidad!D29&gt;1,Utilidad!D29/100,Utilidad!D29)</f>
        <v>0</v>
      </c>
      <c r="J32" s="317">
        <f t="shared" si="4"/>
        <v>0</v>
      </c>
      <c r="K32" s="317">
        <f t="shared" si="5"/>
        <v>-1</v>
      </c>
      <c r="L32" s="121"/>
      <c r="M32" s="319">
        <f t="shared" si="6"/>
        <v>0</v>
      </c>
      <c r="N32" s="319">
        <f t="shared" si="0"/>
        <v>1</v>
      </c>
      <c r="Q32" s="308" t="s">
        <v>66</v>
      </c>
      <c r="R32" s="309">
        <f>Utilidad!E29</f>
        <v>0.01</v>
      </c>
    </row>
    <row r="33" spans="2:18" ht="24">
      <c r="B33" s="308" t="s">
        <v>146</v>
      </c>
      <c r="C33" s="305">
        <f>Utilidad!A30</f>
        <v>1000</v>
      </c>
      <c r="D33" s="309">
        <f>IF(Utilidad!C30&gt;1,Utilidad!C30/100,Utilidad!C30)</f>
        <v>0</v>
      </c>
      <c r="F33" s="308" t="s">
        <v>146</v>
      </c>
      <c r="G33" s="305">
        <f>Utilidad!B30</f>
        <v>1000</v>
      </c>
      <c r="H33" s="309">
        <f>IF(Utilidad!D30&gt;1,Utilidad!D30/100,Utilidad!D30)</f>
        <v>0</v>
      </c>
      <c r="J33" s="317">
        <f t="shared" si="4"/>
        <v>0</v>
      </c>
      <c r="K33" s="317">
        <f t="shared" si="5"/>
        <v>-1</v>
      </c>
      <c r="L33" s="121"/>
      <c r="M33" s="319">
        <f t="shared" si="6"/>
        <v>0</v>
      </c>
      <c r="N33" s="319">
        <f t="shared" si="0"/>
        <v>1</v>
      </c>
      <c r="Q33" s="308" t="s">
        <v>146</v>
      </c>
      <c r="R33" s="309">
        <f>Utilidad!E30</f>
        <v>0.01</v>
      </c>
    </row>
    <row r="34" spans="2:18" ht="24">
      <c r="B34" s="308" t="s">
        <v>147</v>
      </c>
      <c r="C34" s="305">
        <f>Utilidad!A31</f>
        <v>3287.8954015671002</v>
      </c>
      <c r="D34" s="309">
        <f>IF(Utilidad!C31&gt;1,Utilidad!C31/100,Utilidad!C31)</f>
        <v>0</v>
      </c>
      <c r="F34" s="308" t="s">
        <v>147</v>
      </c>
      <c r="G34" s="305">
        <f>Utilidad!B31</f>
        <v>3287.8954015671002</v>
      </c>
      <c r="H34" s="309">
        <f>IF(Utilidad!D31&gt;1,Utilidad!D31/100,Utilidad!D31)</f>
        <v>0</v>
      </c>
      <c r="J34" s="317">
        <f t="shared" si="4"/>
        <v>0</v>
      </c>
      <c r="K34" s="317">
        <f t="shared" si="5"/>
        <v>-1</v>
      </c>
      <c r="L34" s="121"/>
      <c r="M34" s="319">
        <f t="shared" si="6"/>
        <v>0</v>
      </c>
      <c r="N34" s="319">
        <f t="shared" si="0"/>
        <v>1</v>
      </c>
      <c r="Q34" s="308" t="s">
        <v>147</v>
      </c>
      <c r="R34" s="309">
        <f>Utilidad!E31</f>
        <v>0.01</v>
      </c>
    </row>
    <row r="35" spans="2:18" ht="24">
      <c r="B35" s="308" t="s">
        <v>148</v>
      </c>
      <c r="C35" s="305">
        <f>Utilidad!A32</f>
        <v>123260.6</v>
      </c>
      <c r="D35" s="309">
        <f>IF(Utilidad!C32&gt;1,Utilidad!C32/100,Utilidad!C32)</f>
        <v>0</v>
      </c>
      <c r="F35" s="308" t="s">
        <v>148</v>
      </c>
      <c r="G35" s="305">
        <f>Utilidad!B32</f>
        <v>123260.6</v>
      </c>
      <c r="H35" s="309">
        <f>IF(Utilidad!D32&gt;1,Utilidad!D32/100,Utilidad!D32)</f>
        <v>0</v>
      </c>
      <c r="J35" s="317">
        <f t="shared" si="4"/>
        <v>0</v>
      </c>
      <c r="K35" s="317">
        <f t="shared" si="5"/>
        <v>-1</v>
      </c>
      <c r="L35" s="121"/>
      <c r="M35" s="319">
        <f t="shared" si="6"/>
        <v>0</v>
      </c>
      <c r="N35" s="319">
        <f t="shared" si="0"/>
        <v>1</v>
      </c>
      <c r="Q35" s="308" t="s">
        <v>148</v>
      </c>
      <c r="R35" s="309">
        <f>Utilidad!E32</f>
        <v>0.01</v>
      </c>
    </row>
    <row r="36" spans="2:18" ht="24">
      <c r="B36" s="308" t="s">
        <v>149</v>
      </c>
      <c r="C36" s="305">
        <f>Utilidad!A33</f>
        <v>0</v>
      </c>
      <c r="D36" s="309">
        <f>IF(Utilidad!C33&gt;1,Utilidad!C33/100,Utilidad!C33)</f>
        <v>0</v>
      </c>
      <c r="F36" s="308" t="s">
        <v>149</v>
      </c>
      <c r="G36" s="305">
        <f>Utilidad!B33</f>
        <v>0</v>
      </c>
      <c r="H36" s="309">
        <f>IF(Utilidad!D33&gt;1,Utilidad!D33/100,Utilidad!D33)</f>
        <v>0</v>
      </c>
      <c r="J36" s="317">
        <f t="shared" si="4"/>
        <v>0</v>
      </c>
      <c r="K36" s="317">
        <f t="shared" si="5"/>
        <v>0</v>
      </c>
      <c r="L36" s="121"/>
      <c r="M36" s="319">
        <f t="shared" si="6"/>
        <v>0</v>
      </c>
      <c r="N36" s="319">
        <f t="shared" si="0"/>
        <v>0</v>
      </c>
      <c r="Q36" s="308" t="s">
        <v>149</v>
      </c>
      <c r="R36" s="309">
        <f>Utilidad!E33</f>
        <v>0.01</v>
      </c>
    </row>
    <row r="37" spans="2:18" ht="24">
      <c r="B37" s="308" t="s">
        <v>31</v>
      </c>
      <c r="C37" s="305">
        <f>Utilidad!A34</f>
        <v>-3287.8954015671002</v>
      </c>
      <c r="D37" s="309">
        <f>IF(Utilidad!C34&gt;1,Utilidad!C34/100,Utilidad!C34)</f>
        <v>0</v>
      </c>
      <c r="F37" s="308" t="s">
        <v>31</v>
      </c>
      <c r="G37" s="305">
        <f>Utilidad!B34</f>
        <v>-3287.8954015671002</v>
      </c>
      <c r="H37" s="309">
        <f>IF(Utilidad!D34&gt;1,Utilidad!D34/100,Utilidad!D34)</f>
        <v>0</v>
      </c>
      <c r="J37" s="317">
        <f t="shared" si="4"/>
        <v>0</v>
      </c>
      <c r="K37" s="317">
        <f t="shared" si="5"/>
        <v>-1</v>
      </c>
      <c r="L37" s="121"/>
      <c r="M37" s="319">
        <f t="shared" si="6"/>
        <v>0</v>
      </c>
      <c r="N37" s="319">
        <f t="shared" si="0"/>
        <v>1</v>
      </c>
      <c r="Q37" s="308" t="s">
        <v>31</v>
      </c>
      <c r="R37" s="309">
        <f>Utilidad!E34</f>
        <v>0.01</v>
      </c>
    </row>
    <row r="38" spans="2:18" ht="24">
      <c r="B38" s="308" t="s">
        <v>150</v>
      </c>
      <c r="C38" s="305">
        <f>Utilidad!A35</f>
        <v>4312.5021039050998</v>
      </c>
      <c r="D38" s="309">
        <f>IF(Utilidad!C35&gt;1,Utilidad!C35/100,Utilidad!C35)</f>
        <v>0</v>
      </c>
      <c r="F38" s="308" t="s">
        <v>150</v>
      </c>
      <c r="G38" s="305">
        <f>Utilidad!B35</f>
        <v>4312.5021039050998</v>
      </c>
      <c r="H38" s="309">
        <f>IF(Utilidad!D35&gt;1,Utilidad!D35/100,Utilidad!D35)</f>
        <v>0</v>
      </c>
      <c r="J38" s="317">
        <f t="shared" si="4"/>
        <v>0</v>
      </c>
      <c r="K38" s="317">
        <f t="shared" si="5"/>
        <v>-1</v>
      </c>
      <c r="L38" s="121"/>
      <c r="M38" s="319">
        <f t="shared" si="6"/>
        <v>0</v>
      </c>
      <c r="N38" s="319">
        <f t="shared" si="0"/>
        <v>1</v>
      </c>
      <c r="Q38" s="308" t="s">
        <v>150</v>
      </c>
      <c r="R38" s="309">
        <f>Utilidad!E35</f>
        <v>0.01</v>
      </c>
    </row>
    <row r="39" spans="2:18" ht="24">
      <c r="B39" s="308" t="s">
        <v>67</v>
      </c>
      <c r="C39" s="305">
        <f>Utilidad!A36</f>
        <v>-6548.9178960949002</v>
      </c>
      <c r="D39" s="309">
        <f>IF(Utilidad!C36&gt;1,Utilidad!C36/100,Utilidad!C36)</f>
        <v>0</v>
      </c>
      <c r="F39" s="308" t="s">
        <v>67</v>
      </c>
      <c r="G39" s="305">
        <f>Utilidad!B36</f>
        <v>-6548.9178960949002</v>
      </c>
      <c r="H39" s="309">
        <f>IF(Utilidad!D36&gt;1,Utilidad!D36/100,Utilidad!D36)</f>
        <v>0</v>
      </c>
      <c r="J39" s="317">
        <f t="shared" si="4"/>
        <v>0</v>
      </c>
      <c r="K39" s="317">
        <f t="shared" si="5"/>
        <v>-1</v>
      </c>
      <c r="L39" s="121"/>
      <c r="M39" s="319">
        <f t="shared" si="6"/>
        <v>0</v>
      </c>
      <c r="N39" s="319">
        <f t="shared" si="0"/>
        <v>1</v>
      </c>
      <c r="Q39" s="308" t="s">
        <v>67</v>
      </c>
      <c r="R39" s="309">
        <f>Utilidad!E36</f>
        <v>0.01</v>
      </c>
    </row>
    <row r="40" spans="2:18" ht="24">
      <c r="B40" s="308" t="s">
        <v>151</v>
      </c>
      <c r="C40" s="305">
        <f>Utilidad!A37</f>
        <v>108207.245</v>
      </c>
      <c r="D40" s="309">
        <f>IF(Utilidad!C37&gt;1,Utilidad!C37/100,Utilidad!C37)</f>
        <v>0</v>
      </c>
      <c r="F40" s="308" t="s">
        <v>151</v>
      </c>
      <c r="G40" s="305">
        <f>Utilidad!B37</f>
        <v>108207.245</v>
      </c>
      <c r="H40" s="309">
        <f>IF(Utilidad!D37&gt;1,Utilidad!D37/100,Utilidad!D37)</f>
        <v>0</v>
      </c>
      <c r="J40" s="317">
        <f t="shared" si="4"/>
        <v>0</v>
      </c>
      <c r="K40" s="317">
        <f t="shared" si="5"/>
        <v>-1</v>
      </c>
      <c r="L40" s="121"/>
      <c r="M40" s="319">
        <f t="shared" si="6"/>
        <v>0</v>
      </c>
      <c r="N40" s="319">
        <f t="shared" si="0"/>
        <v>1</v>
      </c>
      <c r="Q40" s="308" t="s">
        <v>151</v>
      </c>
      <c r="R40" s="309">
        <f>Utilidad!E37</f>
        <v>0.01</v>
      </c>
    </row>
    <row r="41" spans="2:18" ht="24">
      <c r="B41" s="308" t="s">
        <v>15</v>
      </c>
      <c r="C41" s="305">
        <f>Utilidad!A38</f>
        <v>117765.29459999999</v>
      </c>
      <c r="D41" s="309">
        <f>IF(Utilidad!C38&gt;1,Utilidad!C38/100,Utilidad!C38)</f>
        <v>0</v>
      </c>
      <c r="F41" s="308" t="s">
        <v>15</v>
      </c>
      <c r="G41" s="305">
        <f>Utilidad!B38</f>
        <v>117765.29459999999</v>
      </c>
      <c r="H41" s="309">
        <f>IF(Utilidad!D38&gt;1,Utilidad!D38/100,Utilidad!D38)</f>
        <v>0</v>
      </c>
      <c r="J41" s="317">
        <f t="shared" si="4"/>
        <v>0</v>
      </c>
      <c r="K41" s="317">
        <f t="shared" si="5"/>
        <v>-1</v>
      </c>
      <c r="L41" s="121"/>
      <c r="M41" s="319">
        <f t="shared" si="6"/>
        <v>0</v>
      </c>
      <c r="N41" s="319">
        <f t="shared" si="0"/>
        <v>1</v>
      </c>
      <c r="Q41" s="308" t="s">
        <v>15</v>
      </c>
      <c r="R41" s="309">
        <f>Utilidad!E38</f>
        <v>0.01</v>
      </c>
    </row>
    <row r="42" spans="2:18" ht="24">
      <c r="B42" s="308" t="s">
        <v>152</v>
      </c>
      <c r="C42" s="305">
        <f>Utilidad!A39</f>
        <v>0</v>
      </c>
      <c r="D42" s="309">
        <f>IF(Utilidad!C39&gt;1,Utilidad!C39/100,Utilidad!C39)</f>
        <v>0</v>
      </c>
      <c r="F42" s="308" t="s">
        <v>152</v>
      </c>
      <c r="G42" s="305">
        <f>Utilidad!B39</f>
        <v>0</v>
      </c>
      <c r="H42" s="309">
        <f>IF(Utilidad!D39&gt;1,Utilidad!D39/100,Utilidad!D39)</f>
        <v>0</v>
      </c>
      <c r="J42" s="317">
        <f t="shared" si="4"/>
        <v>0</v>
      </c>
      <c r="K42" s="317">
        <f t="shared" si="5"/>
        <v>0</v>
      </c>
      <c r="L42" s="121"/>
      <c r="M42" s="319">
        <f t="shared" si="6"/>
        <v>0</v>
      </c>
      <c r="N42" s="319">
        <f t="shared" si="0"/>
        <v>0</v>
      </c>
      <c r="Q42" s="308" t="s">
        <v>152</v>
      </c>
      <c r="R42" s="309">
        <f>Utilidad!E39</f>
        <v>0.01</v>
      </c>
    </row>
    <row r="43" spans="2:18" ht="24">
      <c r="B43" s="308" t="s">
        <v>153</v>
      </c>
      <c r="C43" s="305">
        <f>Utilidad!A40</f>
        <v>1926.6</v>
      </c>
      <c r="D43" s="309">
        <f>IF(Utilidad!C40&gt;1,Utilidad!C40/100,Utilidad!C40)</f>
        <v>0</v>
      </c>
      <c r="F43" s="308" t="s">
        <v>153</v>
      </c>
      <c r="G43" s="305">
        <f>Utilidad!B40</f>
        <v>1926.6</v>
      </c>
      <c r="H43" s="309">
        <f>IF(Utilidad!D40&gt;1,Utilidad!D40/100,Utilidad!D40)</f>
        <v>0</v>
      </c>
      <c r="J43" s="317">
        <f t="shared" si="4"/>
        <v>0</v>
      </c>
      <c r="K43" s="317">
        <f t="shared" si="5"/>
        <v>-1</v>
      </c>
      <c r="L43" s="121"/>
      <c r="M43" s="319">
        <f t="shared" si="6"/>
        <v>0</v>
      </c>
      <c r="N43" s="319">
        <f t="shared" si="0"/>
        <v>1</v>
      </c>
      <c r="Q43" s="308" t="s">
        <v>153</v>
      </c>
      <c r="R43" s="309">
        <f>Utilidad!E40</f>
        <v>0.01</v>
      </c>
    </row>
    <row r="44" spans="2:18" ht="24">
      <c r="B44" s="308" t="s">
        <v>154</v>
      </c>
      <c r="C44" s="305">
        <f>Utilidad!A41</f>
        <v>1541.28</v>
      </c>
      <c r="D44" s="309">
        <f>IF(Utilidad!C41&gt;1,Utilidad!C41/100,Utilidad!C41)</f>
        <v>0</v>
      </c>
      <c r="F44" s="308" t="s">
        <v>154</v>
      </c>
      <c r="G44" s="305">
        <f>Utilidad!B41</f>
        <v>1541.28</v>
      </c>
      <c r="H44" s="309">
        <f>IF(Utilidad!D41&gt;1,Utilidad!D41/100,Utilidad!D41)</f>
        <v>0</v>
      </c>
      <c r="J44" s="317">
        <f t="shared" si="4"/>
        <v>0</v>
      </c>
      <c r="K44" s="317">
        <f t="shared" si="5"/>
        <v>-1</v>
      </c>
      <c r="L44" s="121"/>
      <c r="M44" s="319">
        <f t="shared" si="6"/>
        <v>0</v>
      </c>
      <c r="N44" s="319">
        <f t="shared" si="0"/>
        <v>1</v>
      </c>
      <c r="Q44" s="308" t="s">
        <v>154</v>
      </c>
      <c r="R44" s="309">
        <f>Utilidad!E41</f>
        <v>0.01</v>
      </c>
    </row>
    <row r="45" spans="2:18" ht="24">
      <c r="B45" s="308" t="s">
        <v>155</v>
      </c>
      <c r="C45" s="305">
        <f>Utilidad!A42</f>
        <v>385.32</v>
      </c>
      <c r="D45" s="309">
        <f>IF(Utilidad!C42&gt;1,Utilidad!C42/100,Utilidad!C42)</f>
        <v>0</v>
      </c>
      <c r="F45" s="308" t="s">
        <v>155</v>
      </c>
      <c r="G45" s="305">
        <f>Utilidad!B42</f>
        <v>385.32</v>
      </c>
      <c r="H45" s="309">
        <f>IF(Utilidad!D42&gt;1,Utilidad!D42/100,Utilidad!D42)</f>
        <v>0</v>
      </c>
      <c r="J45" s="317">
        <f t="shared" si="4"/>
        <v>0</v>
      </c>
      <c r="K45" s="317">
        <f t="shared" si="5"/>
        <v>-1</v>
      </c>
      <c r="L45" s="121"/>
      <c r="M45" s="319">
        <f t="shared" si="6"/>
        <v>0</v>
      </c>
      <c r="N45" s="319">
        <f t="shared" si="0"/>
        <v>1</v>
      </c>
      <c r="Q45" s="308" t="s">
        <v>155</v>
      </c>
      <c r="R45" s="309">
        <f>Utilidad!E42</f>
        <v>0.01</v>
      </c>
    </row>
    <row r="46" spans="2:18" ht="24">
      <c r="B46" s="308" t="s">
        <v>156</v>
      </c>
      <c r="C46" s="305">
        <f>Utilidad!A43</f>
        <v>385.32</v>
      </c>
      <c r="D46" s="309">
        <f>IF(Utilidad!C43&gt;1,Utilidad!C43/100,Utilidad!C43)</f>
        <v>0</v>
      </c>
      <c r="F46" s="308" t="s">
        <v>156</v>
      </c>
      <c r="G46" s="305">
        <f>Utilidad!B43</f>
        <v>385.32</v>
      </c>
      <c r="H46" s="309">
        <f>IF(Utilidad!D43&gt;1,Utilidad!D43/100,Utilidad!D43)</f>
        <v>0</v>
      </c>
      <c r="J46" s="317">
        <f t="shared" si="4"/>
        <v>0</v>
      </c>
      <c r="K46" s="317">
        <f t="shared" si="5"/>
        <v>-1</v>
      </c>
      <c r="L46" s="121"/>
      <c r="M46" s="319">
        <f t="shared" si="6"/>
        <v>0</v>
      </c>
      <c r="N46" s="319">
        <f t="shared" si="0"/>
        <v>1</v>
      </c>
      <c r="Q46" s="308" t="s">
        <v>156</v>
      </c>
      <c r="R46" s="309">
        <f>Utilidad!E43</f>
        <v>0.01</v>
      </c>
    </row>
    <row r="47" spans="2:18" ht="24">
      <c r="B47" s="308" t="s">
        <v>157</v>
      </c>
      <c r="C47" s="305">
        <f>Utilidad!A44</f>
        <v>0</v>
      </c>
      <c r="D47" s="309">
        <f>IF(Utilidad!C44&gt;1,Utilidad!C44/100,Utilidad!C44)</f>
        <v>0</v>
      </c>
      <c r="F47" s="308" t="s">
        <v>157</v>
      </c>
      <c r="G47" s="305">
        <f>Utilidad!B44</f>
        <v>0</v>
      </c>
      <c r="H47" s="309">
        <f>IF(Utilidad!D44&gt;1,Utilidad!D44/100,Utilidad!D44)</f>
        <v>0</v>
      </c>
      <c r="J47" s="317">
        <f t="shared" si="4"/>
        <v>0</v>
      </c>
      <c r="K47" s="317">
        <f t="shared" si="5"/>
        <v>0</v>
      </c>
      <c r="L47" s="121"/>
      <c r="M47" s="319">
        <f t="shared" si="6"/>
        <v>0</v>
      </c>
      <c r="N47" s="319">
        <f t="shared" si="0"/>
        <v>0</v>
      </c>
      <c r="Q47" s="308" t="s">
        <v>157</v>
      </c>
      <c r="R47" s="309">
        <f>Utilidad!E44</f>
        <v>0.01</v>
      </c>
    </row>
    <row r="48" spans="2:18" ht="24">
      <c r="B48" s="308" t="s">
        <v>158</v>
      </c>
      <c r="C48" s="305">
        <f>Utilidad!A45</f>
        <v>0</v>
      </c>
      <c r="D48" s="309">
        <f>IF(Utilidad!C45&gt;1,Utilidad!C45/100,Utilidad!C45)</f>
        <v>0</v>
      </c>
      <c r="F48" s="308" t="s">
        <v>158</v>
      </c>
      <c r="G48" s="305">
        <f>Utilidad!B45</f>
        <v>0</v>
      </c>
      <c r="H48" s="309">
        <f>IF(Utilidad!D45&gt;1,Utilidad!D45/100,Utilidad!D45)</f>
        <v>0</v>
      </c>
      <c r="J48" s="317">
        <f t="shared" si="4"/>
        <v>0</v>
      </c>
      <c r="K48" s="317">
        <f t="shared" si="5"/>
        <v>0</v>
      </c>
      <c r="L48" s="121"/>
      <c r="M48" s="319">
        <f t="shared" si="6"/>
        <v>0</v>
      </c>
      <c r="N48" s="319">
        <f t="shared" si="0"/>
        <v>0</v>
      </c>
      <c r="Q48" s="308" t="s">
        <v>158</v>
      </c>
      <c r="R48" s="309">
        <f>Utilidad!E45</f>
        <v>0.01</v>
      </c>
    </row>
    <row r="49" spans="2:18" ht="24">
      <c r="B49" s="308" t="s">
        <v>159</v>
      </c>
      <c r="C49" s="305">
        <f>Utilidad!A46</f>
        <v>0</v>
      </c>
      <c r="D49" s="309">
        <f>IF(Utilidad!C46&gt;1,Utilidad!C46/100,Utilidad!C46)</f>
        <v>0</v>
      </c>
      <c r="F49" s="308" t="s">
        <v>159</v>
      </c>
      <c r="G49" s="305">
        <f>Utilidad!B46</f>
        <v>0</v>
      </c>
      <c r="H49" s="309">
        <f>IF(Utilidad!D46&gt;1,Utilidad!D46/100,Utilidad!D46)</f>
        <v>0</v>
      </c>
      <c r="J49" s="317">
        <f t="shared" si="4"/>
        <v>0</v>
      </c>
      <c r="K49" s="317">
        <f t="shared" si="5"/>
        <v>0</v>
      </c>
      <c r="L49" s="121"/>
      <c r="M49" s="319">
        <f t="shared" si="6"/>
        <v>0</v>
      </c>
      <c r="N49" s="319">
        <f t="shared" si="0"/>
        <v>0</v>
      </c>
      <c r="Q49" s="308" t="s">
        <v>159</v>
      </c>
      <c r="R49" s="309">
        <f>Utilidad!E46</f>
        <v>0.01</v>
      </c>
    </row>
    <row r="50" spans="2:18" ht="24">
      <c r="B50" s="308" t="s">
        <v>160</v>
      </c>
      <c r="C50" s="305">
        <f>Utilidad!A47</f>
        <v>0</v>
      </c>
      <c r="D50" s="309">
        <f>IF(Utilidad!C47&gt;1,Utilidad!C47/100,Utilidad!C47)</f>
        <v>0</v>
      </c>
      <c r="F50" s="308" t="s">
        <v>160</v>
      </c>
      <c r="G50" s="305">
        <f>Utilidad!B47</f>
        <v>0</v>
      </c>
      <c r="H50" s="309">
        <f>IF(Utilidad!D47&gt;1,Utilidad!D47/100,Utilidad!D47)</f>
        <v>0</v>
      </c>
      <c r="J50" s="317">
        <f t="shared" si="4"/>
        <v>0</v>
      </c>
      <c r="K50" s="317">
        <f t="shared" si="5"/>
        <v>0</v>
      </c>
      <c r="L50" s="121"/>
      <c r="M50" s="319">
        <f t="shared" si="6"/>
        <v>0</v>
      </c>
      <c r="N50" s="319">
        <f t="shared" si="0"/>
        <v>0</v>
      </c>
      <c r="Q50" s="308" t="s">
        <v>160</v>
      </c>
      <c r="R50" s="309">
        <f>Utilidad!E47</f>
        <v>0.01</v>
      </c>
    </row>
    <row r="51" spans="2:18" ht="24">
      <c r="B51" s="308" t="s">
        <v>161</v>
      </c>
      <c r="C51" s="305">
        <f>Utilidad!A48</f>
        <v>0</v>
      </c>
      <c r="D51" s="309">
        <f>IF(Utilidad!C48&gt;1,Utilidad!C48/100,Utilidad!C48)</f>
        <v>0</v>
      </c>
      <c r="F51" s="308" t="s">
        <v>161</v>
      </c>
      <c r="G51" s="305">
        <f>Utilidad!B48</f>
        <v>0</v>
      </c>
      <c r="H51" s="309">
        <f>IF(Utilidad!D48&gt;1,Utilidad!D48/100,Utilidad!D48)</f>
        <v>0</v>
      </c>
      <c r="J51" s="317">
        <f t="shared" si="4"/>
        <v>0</v>
      </c>
      <c r="K51" s="317">
        <f t="shared" si="5"/>
        <v>0</v>
      </c>
      <c r="L51" s="121"/>
      <c r="M51" s="319">
        <f t="shared" si="6"/>
        <v>0</v>
      </c>
      <c r="N51" s="319">
        <f t="shared" si="0"/>
        <v>0</v>
      </c>
      <c r="Q51" s="308" t="s">
        <v>161</v>
      </c>
      <c r="R51" s="309">
        <f>Utilidad!E48</f>
        <v>0.01</v>
      </c>
    </row>
    <row r="52" spans="2:18" ht="24">
      <c r="B52" s="308" t="s">
        <v>162</v>
      </c>
      <c r="C52" s="305">
        <f>Utilidad!A49</f>
        <v>10861.42</v>
      </c>
      <c r="D52" s="309">
        <f>IF(Utilidad!C49&gt;1,Utilidad!C49/100,Utilidad!C49)</f>
        <v>0</v>
      </c>
      <c r="F52" s="308" t="s">
        <v>162</v>
      </c>
      <c r="G52" s="305">
        <f>Utilidad!B49</f>
        <v>10861.42</v>
      </c>
      <c r="H52" s="309">
        <f>IF(Utilidad!D49&gt;1,Utilidad!D49/100,Utilidad!D49)</f>
        <v>0</v>
      </c>
      <c r="J52" s="317">
        <f t="shared" si="4"/>
        <v>0</v>
      </c>
      <c r="K52" s="317">
        <f t="shared" si="5"/>
        <v>-1</v>
      </c>
      <c r="L52" s="121"/>
      <c r="M52" s="319">
        <f t="shared" si="6"/>
        <v>0</v>
      </c>
      <c r="N52" s="319">
        <f t="shared" si="0"/>
        <v>1</v>
      </c>
      <c r="Q52" s="308" t="s">
        <v>162</v>
      </c>
      <c r="R52" s="309">
        <f>Utilidad!E49</f>
        <v>0.01</v>
      </c>
    </row>
    <row r="53" spans="2:18" ht="24">
      <c r="B53" s="308" t="s">
        <v>163</v>
      </c>
      <c r="C53" s="305">
        <f>Utilidad!A50</f>
        <v>1303.3704</v>
      </c>
      <c r="D53" s="309">
        <f>IF(Utilidad!C50&gt;1,Utilidad!C50/100,Utilidad!C50)</f>
        <v>0</v>
      </c>
      <c r="F53" s="308" t="s">
        <v>163</v>
      </c>
      <c r="G53" s="305">
        <f>Utilidad!B50</f>
        <v>1303.3704</v>
      </c>
      <c r="H53" s="309">
        <f>IF(Utilidad!D50&gt;1,Utilidad!D50/100,Utilidad!D50)</f>
        <v>0</v>
      </c>
      <c r="J53" s="317">
        <f t="shared" si="4"/>
        <v>0</v>
      </c>
      <c r="K53" s="317">
        <f t="shared" si="5"/>
        <v>-1</v>
      </c>
      <c r="L53" s="121"/>
      <c r="M53" s="319">
        <f t="shared" si="6"/>
        <v>0</v>
      </c>
      <c r="N53" s="319">
        <f t="shared" si="0"/>
        <v>1</v>
      </c>
      <c r="Q53" s="308" t="s">
        <v>163</v>
      </c>
      <c r="R53" s="309">
        <f>Utilidad!E50</f>
        <v>0.01</v>
      </c>
    </row>
    <row r="54" spans="2:18" ht="24">
      <c r="B54" s="308" t="s">
        <v>164</v>
      </c>
      <c r="C54" s="305">
        <f>Utilidad!A51</f>
        <v>0</v>
      </c>
      <c r="D54" s="309">
        <f>IF(Utilidad!C51&gt;1,Utilidad!C51/100,Utilidad!C51)</f>
        <v>0</v>
      </c>
      <c r="F54" s="308" t="s">
        <v>164</v>
      </c>
      <c r="G54" s="305">
        <f>Utilidad!B51</f>
        <v>0</v>
      </c>
      <c r="H54" s="309">
        <f>IF(Utilidad!D51&gt;1,Utilidad!D51/100,Utilidad!D51)</f>
        <v>0</v>
      </c>
      <c r="J54" s="317">
        <f t="shared" si="4"/>
        <v>0</v>
      </c>
      <c r="K54" s="317">
        <f t="shared" si="5"/>
        <v>0</v>
      </c>
      <c r="L54" s="121"/>
      <c r="M54" s="319">
        <f t="shared" si="6"/>
        <v>0</v>
      </c>
      <c r="N54" s="319">
        <f t="shared" si="0"/>
        <v>0</v>
      </c>
      <c r="Q54" s="308" t="s">
        <v>164</v>
      </c>
      <c r="R54" s="309">
        <f>Utilidad!E51</f>
        <v>0.01</v>
      </c>
    </row>
    <row r="55" spans="2:18" ht="24">
      <c r="B55" s="308" t="s">
        <v>165</v>
      </c>
      <c r="C55" s="305">
        <f>Utilidad!A52</f>
        <v>9558.0496000000003</v>
      </c>
      <c r="D55" s="309">
        <f>IF(Utilidad!C52&gt;1,Utilidad!C52/100,Utilidad!C52)</f>
        <v>0</v>
      </c>
      <c r="F55" s="308" t="s">
        <v>165</v>
      </c>
      <c r="G55" s="305">
        <f>Utilidad!B52</f>
        <v>9558.0496000000003</v>
      </c>
      <c r="H55" s="309">
        <f>IF(Utilidad!D52&gt;1,Utilidad!D52/100,Utilidad!D52)</f>
        <v>0</v>
      </c>
      <c r="J55" s="317">
        <f t="shared" si="4"/>
        <v>0</v>
      </c>
      <c r="K55" s="317">
        <f t="shared" si="5"/>
        <v>-1</v>
      </c>
      <c r="L55" s="121"/>
      <c r="M55" s="319">
        <f t="shared" si="6"/>
        <v>0</v>
      </c>
      <c r="N55" s="319">
        <f t="shared" si="0"/>
        <v>1</v>
      </c>
      <c r="Q55" s="308" t="s">
        <v>165</v>
      </c>
      <c r="R55" s="309">
        <f>Utilidad!E52</f>
        <v>0.01</v>
      </c>
    </row>
    <row r="56" spans="2:18" ht="24">
      <c r="B56" s="308" t="s">
        <v>166</v>
      </c>
      <c r="C56" s="305">
        <f>Utilidad!A53</f>
        <v>0</v>
      </c>
      <c r="D56" s="309">
        <f>IF(Utilidad!C53&gt;1,Utilidad!C53/100,Utilidad!C53)</f>
        <v>0</v>
      </c>
      <c r="F56" s="308" t="s">
        <v>166</v>
      </c>
      <c r="G56" s="305">
        <f>Utilidad!B53</f>
        <v>0</v>
      </c>
      <c r="H56" s="309">
        <f>IF(Utilidad!D53&gt;1,Utilidad!D53/100,Utilidad!D53)</f>
        <v>0</v>
      </c>
      <c r="J56" s="317">
        <f t="shared" si="4"/>
        <v>0</v>
      </c>
      <c r="K56" s="317">
        <f t="shared" si="5"/>
        <v>0</v>
      </c>
      <c r="L56" s="121"/>
      <c r="M56" s="319">
        <f t="shared" si="6"/>
        <v>0</v>
      </c>
      <c r="N56" s="319">
        <f t="shared" si="0"/>
        <v>0</v>
      </c>
      <c r="Q56" s="308" t="s">
        <v>166</v>
      </c>
      <c r="R56" s="309">
        <f>Utilidad!E53</f>
        <v>0.01</v>
      </c>
    </row>
    <row r="57" spans="2:18" ht="24">
      <c r="B57" s="308" t="s">
        <v>167</v>
      </c>
      <c r="C57" s="305">
        <f>Utilidad!A54</f>
        <v>0</v>
      </c>
      <c r="D57" s="309">
        <f>IF(Utilidad!C54&gt;1,Utilidad!C54/100,Utilidad!C54)</f>
        <v>0</v>
      </c>
      <c r="F57" s="308" t="s">
        <v>167</v>
      </c>
      <c r="G57" s="305">
        <f>Utilidad!B54</f>
        <v>0</v>
      </c>
      <c r="H57" s="309">
        <f>IF(Utilidad!D54&gt;1,Utilidad!D54/100,Utilidad!D54)</f>
        <v>0</v>
      </c>
      <c r="J57" s="317">
        <f t="shared" si="4"/>
        <v>0</v>
      </c>
      <c r="K57" s="317">
        <f t="shared" si="5"/>
        <v>0</v>
      </c>
      <c r="L57" s="121"/>
      <c r="M57" s="319">
        <f t="shared" si="6"/>
        <v>0</v>
      </c>
      <c r="N57" s="319">
        <f t="shared" si="0"/>
        <v>0</v>
      </c>
      <c r="Q57" s="308" t="s">
        <v>167</v>
      </c>
      <c r="R57" s="309">
        <f>Utilidad!E54</f>
        <v>0.01</v>
      </c>
    </row>
    <row r="58" spans="2:18" ht="24">
      <c r="B58" s="308" t="s">
        <v>14</v>
      </c>
      <c r="C58" s="305">
        <f>Utilidad!A55</f>
        <v>1688.6904</v>
      </c>
      <c r="D58" s="309">
        <f>IF(Utilidad!C55&gt;1,Utilidad!C55/100,Utilidad!C55)</f>
        <v>0</v>
      </c>
      <c r="F58" s="308" t="s">
        <v>14</v>
      </c>
      <c r="G58" s="305">
        <f>Utilidad!B55</f>
        <v>1688.6904</v>
      </c>
      <c r="H58" s="309">
        <f>IF(Utilidad!D55&gt;1,Utilidad!D55/100,Utilidad!D55)</f>
        <v>0</v>
      </c>
      <c r="J58" s="317">
        <f t="shared" si="4"/>
        <v>0</v>
      </c>
      <c r="K58" s="317">
        <f t="shared" si="5"/>
        <v>-1</v>
      </c>
      <c r="L58" s="121"/>
      <c r="M58" s="319">
        <f t="shared" si="6"/>
        <v>0</v>
      </c>
      <c r="N58" s="319">
        <f t="shared" si="0"/>
        <v>1</v>
      </c>
      <c r="Q58" s="308" t="s">
        <v>14</v>
      </c>
      <c r="R58" s="309">
        <f>Utilidad!E55</f>
        <v>0.01</v>
      </c>
    </row>
    <row r="59" spans="2:18" ht="24">
      <c r="B59" s="308" t="s">
        <v>168</v>
      </c>
      <c r="C59" s="305">
        <f>Utilidad!A56</f>
        <v>0</v>
      </c>
      <c r="D59" s="309">
        <f>IF(Utilidad!C56&gt;1,Utilidad!C56/100,Utilidad!C56)</f>
        <v>0</v>
      </c>
      <c r="F59" s="308" t="s">
        <v>168</v>
      </c>
      <c r="G59" s="305">
        <f>Utilidad!B56</f>
        <v>0</v>
      </c>
      <c r="H59" s="309">
        <f>IF(Utilidad!D56&gt;1,Utilidad!D56/100,Utilidad!D56)</f>
        <v>0</v>
      </c>
      <c r="J59" s="317">
        <f t="shared" si="4"/>
        <v>0</v>
      </c>
      <c r="K59" s="317">
        <f t="shared" si="5"/>
        <v>0</v>
      </c>
      <c r="L59" s="121"/>
      <c r="M59" s="319">
        <f t="shared" si="6"/>
        <v>0</v>
      </c>
      <c r="N59" s="319">
        <f t="shared" si="0"/>
        <v>0</v>
      </c>
      <c r="Q59" s="308" t="s">
        <v>168</v>
      </c>
      <c r="R59" s="309">
        <f>Utilidad!E56</f>
        <v>0.01</v>
      </c>
    </row>
    <row r="60" spans="2:18" ht="24">
      <c r="B60" s="308" t="s">
        <v>32</v>
      </c>
      <c r="C60" s="305">
        <f>Utilidad!A57</f>
        <v>11473.344999999999</v>
      </c>
      <c r="D60" s="309">
        <f>IF(Utilidad!C57&gt;1,Utilidad!C57/100,Utilidad!C57)</f>
        <v>0</v>
      </c>
      <c r="F60" s="308" t="s">
        <v>32</v>
      </c>
      <c r="G60" s="305">
        <f>Utilidad!B57</f>
        <v>11473.344999999999</v>
      </c>
      <c r="H60" s="309">
        <f>IF(Utilidad!D57&gt;1,Utilidad!D57/100,Utilidad!D57)</f>
        <v>0</v>
      </c>
      <c r="J60" s="317">
        <f t="shared" si="4"/>
        <v>0</v>
      </c>
      <c r="K60" s="317">
        <f t="shared" si="5"/>
        <v>-1</v>
      </c>
      <c r="L60" s="121"/>
      <c r="M60" s="319">
        <f t="shared" si="6"/>
        <v>0</v>
      </c>
      <c r="N60" s="319">
        <f t="shared" si="0"/>
        <v>1</v>
      </c>
      <c r="Q60" s="308" t="s">
        <v>32</v>
      </c>
      <c r="R60" s="309">
        <f>Utilidad!E57</f>
        <v>0.01</v>
      </c>
    </row>
    <row r="61" spans="2:18" ht="24">
      <c r="B61" s="308" t="s">
        <v>169</v>
      </c>
      <c r="C61" s="305">
        <f>Utilidad!A58</f>
        <v>0</v>
      </c>
      <c r="D61" s="309">
        <f>IF(Utilidad!C58&gt;1,Utilidad!C58/100,Utilidad!C58)</f>
        <v>0</v>
      </c>
      <c r="F61" s="308" t="s">
        <v>169</v>
      </c>
      <c r="G61" s="305">
        <f>Utilidad!B58</f>
        <v>0</v>
      </c>
      <c r="H61" s="309">
        <f>IF(Utilidad!D58&gt;1,Utilidad!D58/100,Utilidad!D58)</f>
        <v>0</v>
      </c>
      <c r="J61" s="317">
        <f t="shared" si="4"/>
        <v>0</v>
      </c>
      <c r="K61" s="317">
        <f t="shared" si="5"/>
        <v>0</v>
      </c>
      <c r="L61" s="121"/>
      <c r="M61" s="319">
        <f t="shared" si="6"/>
        <v>0</v>
      </c>
      <c r="N61" s="319">
        <f t="shared" si="0"/>
        <v>0</v>
      </c>
      <c r="Q61" s="308" t="s">
        <v>169</v>
      </c>
      <c r="R61" s="309">
        <f>Utilidad!E58</f>
        <v>0.01</v>
      </c>
    </row>
    <row r="62" spans="2:18" ht="24">
      <c r="B62" s="308" t="s">
        <v>33</v>
      </c>
      <c r="C62" s="305">
        <f>Utilidad!A59</f>
        <v>0</v>
      </c>
      <c r="D62" s="309">
        <f>IF(Utilidad!C59&gt;1,Utilidad!C59/100,Utilidad!C59)</f>
        <v>0</v>
      </c>
      <c r="F62" s="308" t="s">
        <v>33</v>
      </c>
      <c r="G62" s="305">
        <f>Utilidad!B59</f>
        <v>0</v>
      </c>
      <c r="H62" s="309">
        <f>IF(Utilidad!D59&gt;1,Utilidad!D59/100,Utilidad!D59)</f>
        <v>0</v>
      </c>
      <c r="J62" s="317">
        <f t="shared" si="4"/>
        <v>0</v>
      </c>
      <c r="K62" s="317">
        <f t="shared" si="5"/>
        <v>0</v>
      </c>
      <c r="L62" s="121"/>
      <c r="M62" s="319">
        <f t="shared" si="6"/>
        <v>0</v>
      </c>
      <c r="N62" s="319">
        <f t="shared" si="0"/>
        <v>0</v>
      </c>
      <c r="Q62" s="308" t="s">
        <v>33</v>
      </c>
      <c r="R62" s="309">
        <f>Utilidad!E59</f>
        <v>0.01</v>
      </c>
    </row>
    <row r="63" spans="2:18" ht="24">
      <c r="B63" s="308" t="s">
        <v>170</v>
      </c>
      <c r="C63" s="305">
        <f>Utilidad!A60</f>
        <v>0</v>
      </c>
      <c r="D63" s="309">
        <f>IF(Utilidad!C60&gt;1,Utilidad!C60/100,Utilidad!C60)</f>
        <v>0</v>
      </c>
      <c r="F63" s="308" t="s">
        <v>170</v>
      </c>
      <c r="G63" s="305">
        <f>Utilidad!B60</f>
        <v>0</v>
      </c>
      <c r="H63" s="309">
        <f>IF(Utilidad!D60&gt;1,Utilidad!D60/100,Utilidad!D60)</f>
        <v>0</v>
      </c>
      <c r="J63" s="317">
        <f t="shared" si="4"/>
        <v>0</v>
      </c>
      <c r="K63" s="317">
        <f t="shared" si="5"/>
        <v>0</v>
      </c>
      <c r="L63" s="121"/>
      <c r="M63" s="319">
        <f t="shared" si="6"/>
        <v>0</v>
      </c>
      <c r="N63" s="319">
        <f t="shared" si="0"/>
        <v>0</v>
      </c>
      <c r="Q63" s="308" t="s">
        <v>170</v>
      </c>
      <c r="R63" s="309">
        <f>Utilidad!E60</f>
        <v>0.01</v>
      </c>
    </row>
  </sheetData>
  <mergeCells count="3">
    <mergeCell ref="B2:D2"/>
    <mergeCell ref="F2:H2"/>
    <mergeCell ref="J2:K2"/>
  </mergeCells>
  <conditionalFormatting sqref="J4:K63">
    <cfRule type="expression" dxfId="1" priority="2">
      <formula>ABS(J4)&gt;=10%</formula>
    </cfRule>
  </conditionalFormatting>
  <conditionalFormatting sqref="L4:L5">
    <cfRule type="expression" dxfId="0" priority="1">
      <formula>ABS(L4)&gt;=10%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  <pageSetUpPr fitToPage="1"/>
  </sheetPr>
  <dimension ref="B1:AA123"/>
  <sheetViews>
    <sheetView showGridLines="0" topLeftCell="A71" zoomScale="120" zoomScaleNormal="120" workbookViewId="0">
      <selection activeCell="E86" sqref="E86"/>
    </sheetView>
  </sheetViews>
  <sheetFormatPr baseColWidth="10" defaultRowHeight="15"/>
  <cols>
    <col min="1" max="1" width="2.5" customWidth="1"/>
    <col min="4" max="4" width="14.1640625" customWidth="1"/>
    <col min="5" max="5" width="17.1640625" customWidth="1"/>
    <col min="6" max="6" width="12.5" customWidth="1"/>
    <col min="7" max="7" width="15.5" customWidth="1"/>
    <col min="8" max="8" width="15.6640625" customWidth="1"/>
    <col min="9" max="9" width="14.5" customWidth="1"/>
    <col min="10" max="10" width="20.1640625" customWidth="1"/>
    <col min="11" max="11" width="16.1640625" customWidth="1"/>
    <col min="12" max="12" width="10.83203125" customWidth="1"/>
    <col min="13" max="13" width="12.5" customWidth="1"/>
    <col min="14" max="14" width="13" customWidth="1"/>
    <col min="15" max="15" width="13.5" customWidth="1"/>
    <col min="18" max="18" width="15.1640625" customWidth="1"/>
    <col min="19" max="19" width="12.1640625" bestFit="1" customWidth="1"/>
    <col min="20" max="20" width="11.5" bestFit="1" customWidth="1"/>
    <col min="21" max="21" width="15" customWidth="1"/>
    <col min="22" max="22" width="18.5" bestFit="1" customWidth="1"/>
    <col min="23" max="23" width="12" bestFit="1" customWidth="1"/>
  </cols>
  <sheetData>
    <row r="1" spans="2:24" ht="16" thickBot="1"/>
    <row r="2" spans="2:24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79"/>
    </row>
    <row r="3" spans="2:24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81"/>
    </row>
    <row r="4" spans="2:24" ht="16">
      <c r="B4" s="80"/>
      <c r="C4" s="23"/>
      <c r="D4" s="23"/>
      <c r="E4" s="23"/>
      <c r="F4" s="82">
        <f>+Utilidad!N67</f>
        <v>261455.17020557521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81"/>
    </row>
    <row r="5" spans="2:24" ht="16">
      <c r="B5" s="80"/>
      <c r="C5" s="23"/>
      <c r="D5" s="23"/>
      <c r="E5" s="23"/>
      <c r="F5" s="83">
        <f>+Utilidad!O67</f>
        <v>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81"/>
    </row>
    <row r="6" spans="2:24" ht="16">
      <c r="B6" s="80"/>
      <c r="C6" s="23"/>
      <c r="D6" s="23"/>
      <c r="E6" s="23"/>
      <c r="F6" s="84">
        <f>+Utilidad!P67</f>
        <v>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81"/>
    </row>
    <row r="7" spans="2:24">
      <c r="B7" s="80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81"/>
    </row>
    <row r="8" spans="2:24">
      <c r="B8" s="80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81"/>
    </row>
    <row r="9" spans="2:24" ht="16">
      <c r="B9" s="80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82">
        <f>+Utilidad!N68</f>
        <v>11473.344999999999</v>
      </c>
      <c r="P9" s="23"/>
      <c r="Q9" s="23"/>
      <c r="R9" s="23"/>
      <c r="S9" s="23"/>
      <c r="T9" s="23"/>
      <c r="U9" s="23"/>
      <c r="V9" s="23"/>
      <c r="W9" s="23"/>
      <c r="X9" s="81"/>
    </row>
    <row r="10" spans="2:24" ht="16">
      <c r="B10" s="80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83">
        <f>+Utilidad!O68</f>
        <v>0</v>
      </c>
      <c r="P10" s="23"/>
      <c r="Q10" s="23"/>
      <c r="R10" s="23"/>
      <c r="S10" s="23"/>
      <c r="T10" s="23"/>
      <c r="U10" s="23"/>
      <c r="V10" s="23"/>
      <c r="W10" s="23"/>
      <c r="X10" s="81"/>
    </row>
    <row r="11" spans="2:24" ht="16">
      <c r="B11" s="80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84">
        <f>+Utilidad!P68</f>
        <v>0</v>
      </c>
      <c r="P11" s="23"/>
      <c r="Q11" s="23"/>
      <c r="R11" s="23"/>
      <c r="S11" s="23"/>
      <c r="T11" s="23"/>
      <c r="U11" s="23"/>
      <c r="V11" s="23"/>
      <c r="W11" s="23"/>
      <c r="X11" s="81"/>
    </row>
    <row r="12" spans="2:24" ht="16">
      <c r="B12" s="80"/>
      <c r="C12" s="23"/>
      <c r="D12" s="23"/>
      <c r="E12" s="23"/>
      <c r="F12" s="23"/>
      <c r="G12" s="82">
        <f>+Utilidad!N69</f>
        <v>249981.82520557521</v>
      </c>
      <c r="H12" s="23"/>
      <c r="I12" s="23"/>
      <c r="J12" s="23"/>
      <c r="K12" s="23"/>
      <c r="L12" s="23"/>
      <c r="M12" s="23"/>
      <c r="N12" s="23"/>
      <c r="P12" s="23"/>
      <c r="Q12" s="23"/>
      <c r="R12" s="23"/>
      <c r="S12" s="23"/>
      <c r="T12" s="23"/>
      <c r="U12" s="23"/>
      <c r="V12" s="23"/>
      <c r="W12" s="23"/>
      <c r="X12" s="81"/>
    </row>
    <row r="13" spans="2:24" ht="16">
      <c r="B13" s="80"/>
      <c r="C13" s="23"/>
      <c r="D13" s="23"/>
      <c r="E13" s="23"/>
      <c r="F13" s="23"/>
      <c r="G13" s="83">
        <f>+Utilidad!O69</f>
        <v>0</v>
      </c>
      <c r="H13" s="23"/>
      <c r="I13" s="23"/>
      <c r="J13" s="23"/>
      <c r="K13" s="23"/>
      <c r="L13" s="23"/>
      <c r="M13" s="23"/>
      <c r="N13" s="23"/>
      <c r="P13" s="23"/>
      <c r="Q13" s="23"/>
      <c r="R13" s="23"/>
      <c r="S13" s="23"/>
      <c r="T13" s="23"/>
      <c r="U13" s="23"/>
      <c r="V13" s="23"/>
      <c r="W13" s="23"/>
      <c r="X13" s="81"/>
    </row>
    <row r="14" spans="2:24" ht="16">
      <c r="B14" s="80"/>
      <c r="C14" s="23"/>
      <c r="D14" s="23"/>
      <c r="E14" s="23"/>
      <c r="F14" s="23"/>
      <c r="G14" s="84">
        <f>+Utilidad!P69</f>
        <v>0</v>
      </c>
      <c r="H14" s="23"/>
      <c r="I14" s="23"/>
      <c r="J14" s="23"/>
      <c r="K14" s="23"/>
      <c r="L14" s="82">
        <f>+Utilidad!N110</f>
        <v>0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81"/>
    </row>
    <row r="15" spans="2:24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83">
        <f>+Utilidad!O110</f>
        <v>0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81"/>
    </row>
    <row r="16" spans="2:24" ht="16">
      <c r="B16" s="80"/>
      <c r="C16" s="23"/>
      <c r="D16" s="23"/>
      <c r="E16" s="23"/>
      <c r="F16" s="23"/>
      <c r="G16" s="23"/>
      <c r="H16" s="23"/>
      <c r="I16" s="85">
        <f>+Utilidad!N70</f>
        <v>-4116.7369201152997</v>
      </c>
      <c r="J16" s="23"/>
      <c r="K16" s="23"/>
      <c r="L16" s="84">
        <f>+Utilidad!P110</f>
        <v>0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81"/>
    </row>
    <row r="17" spans="2:27" ht="16">
      <c r="B17" s="80"/>
      <c r="C17" s="23"/>
      <c r="D17" s="23"/>
      <c r="E17" s="23"/>
      <c r="F17" s="23"/>
      <c r="G17" s="23"/>
      <c r="H17" s="23"/>
      <c r="I17" s="92">
        <f>+Utilidad!P70</f>
        <v>0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86">
        <f>+Utilidad!N122</f>
        <v>0</v>
      </c>
      <c r="V17" s="23"/>
      <c r="W17" s="23"/>
      <c r="X17" s="81"/>
    </row>
    <row r="18" spans="2:27" ht="16">
      <c r="B18" s="80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89">
        <f>+Utilidad!N123</f>
        <v>11473.344999999999</v>
      </c>
      <c r="S18" s="23"/>
      <c r="T18" s="23"/>
      <c r="U18" s="87">
        <f>+Utilidad!O122</f>
        <v>0</v>
      </c>
      <c r="V18" s="23"/>
      <c r="W18" s="23"/>
      <c r="X18" s="81"/>
    </row>
    <row r="19" spans="2:27" ht="16">
      <c r="B19" s="80"/>
      <c r="C19" s="23"/>
      <c r="D19" s="23"/>
      <c r="E19" s="23"/>
      <c r="F19" s="23"/>
      <c r="G19" s="23"/>
      <c r="H19" s="23"/>
      <c r="I19" s="88">
        <f>+Utilidad!N71</f>
        <v>254098.5621256904</v>
      </c>
      <c r="J19" s="23"/>
      <c r="K19" s="23"/>
      <c r="L19" s="23"/>
      <c r="M19" s="23"/>
      <c r="N19" s="23"/>
      <c r="O19" s="23"/>
      <c r="P19" s="23"/>
      <c r="Q19" s="23"/>
      <c r="R19" s="90">
        <f>+Utilidad!P123</f>
        <v>0</v>
      </c>
      <c r="S19" s="23"/>
      <c r="T19" s="23"/>
      <c r="U19" s="90">
        <f>+Utilidad!P122</f>
        <v>0</v>
      </c>
      <c r="V19" s="23"/>
      <c r="W19" s="23"/>
      <c r="X19" s="81"/>
    </row>
    <row r="20" spans="2:27" ht="16">
      <c r="B20" s="80"/>
      <c r="C20" s="23"/>
      <c r="D20" s="23"/>
      <c r="E20" s="23"/>
      <c r="F20" s="23"/>
      <c r="G20" s="23"/>
      <c r="H20" s="23"/>
      <c r="I20" s="91">
        <f>+Utilidad!O71</f>
        <v>0</v>
      </c>
      <c r="J20" s="23"/>
      <c r="K20" s="23"/>
      <c r="L20" s="23"/>
      <c r="M20" s="23"/>
      <c r="N20" s="23"/>
      <c r="O20" s="23"/>
      <c r="P20" s="23"/>
      <c r="Q20" s="23"/>
      <c r="S20" s="23"/>
      <c r="T20" s="23"/>
      <c r="U20" s="23"/>
      <c r="V20" s="23"/>
      <c r="W20" s="23"/>
      <c r="X20" s="81"/>
    </row>
    <row r="21" spans="2:27" ht="16">
      <c r="B21" s="80"/>
      <c r="C21" s="23"/>
      <c r="D21" s="23"/>
      <c r="E21" s="23"/>
      <c r="F21" s="23"/>
      <c r="G21" s="23"/>
      <c r="H21" s="23"/>
      <c r="I21" s="92">
        <f>+Utilidad!P71</f>
        <v>0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81"/>
    </row>
    <row r="22" spans="2:27" ht="16">
      <c r="B22" s="80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86">
        <f>+Utilidad!N119</f>
        <v>0</v>
      </c>
      <c r="S22" s="23"/>
      <c r="U22" s="23"/>
      <c r="V22" s="23"/>
      <c r="W22" s="23"/>
      <c r="X22" s="81"/>
    </row>
    <row r="23" spans="2:27" ht="16">
      <c r="B23" s="80"/>
      <c r="C23" s="23"/>
      <c r="D23" s="23"/>
      <c r="E23" s="23"/>
      <c r="F23" s="23"/>
      <c r="G23" s="23"/>
      <c r="H23" s="23"/>
      <c r="I23" s="23"/>
      <c r="J23" s="23"/>
      <c r="K23" s="117"/>
      <c r="L23" s="23"/>
      <c r="M23" s="23"/>
      <c r="N23" s="23"/>
      <c r="O23" s="23"/>
      <c r="P23" s="23"/>
      <c r="Q23" s="23"/>
      <c r="R23" s="87">
        <f>+Utilidad!O119</f>
        <v>0</v>
      </c>
      <c r="S23" s="23"/>
      <c r="T23" s="23"/>
      <c r="U23" s="23"/>
      <c r="V23" s="23"/>
      <c r="W23" s="23"/>
      <c r="X23" s="81"/>
    </row>
    <row r="24" spans="2:27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90">
        <f>+Utilidad!P119</f>
        <v>0</v>
      </c>
      <c r="S24" s="23"/>
      <c r="T24" s="23"/>
      <c r="U24" s="23"/>
      <c r="V24" s="23"/>
      <c r="W24" s="23"/>
      <c r="X24" s="81"/>
    </row>
    <row r="25" spans="2:27" ht="16">
      <c r="B25" s="80"/>
      <c r="C25" s="23"/>
      <c r="D25" s="23"/>
      <c r="E25" s="23"/>
      <c r="F25" s="23"/>
      <c r="G25" s="23"/>
      <c r="H25" s="23"/>
      <c r="I25" s="23"/>
      <c r="J25" s="23"/>
      <c r="K25" s="119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81"/>
    </row>
    <row r="26" spans="2:27" ht="16">
      <c r="B26" s="80"/>
      <c r="C26" s="23"/>
      <c r="D26" s="23"/>
      <c r="E26" s="23"/>
      <c r="F26" s="23"/>
      <c r="G26" s="23"/>
      <c r="H26" s="23"/>
      <c r="I26" s="85">
        <f>+Utilidad!N72</f>
        <v>693.98717870610005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8"/>
      <c r="U26" s="23"/>
      <c r="V26" s="23"/>
      <c r="W26" s="23"/>
      <c r="X26" s="81"/>
    </row>
    <row r="27" spans="2:27" ht="16">
      <c r="B27" s="80"/>
      <c r="C27" s="23"/>
      <c r="D27" s="23"/>
      <c r="E27" s="23"/>
      <c r="F27" s="23"/>
      <c r="G27" s="23"/>
      <c r="H27" s="23"/>
      <c r="I27" s="92">
        <f>+Utilidad!P72</f>
        <v>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81"/>
    </row>
    <row r="28" spans="2:27" ht="16">
      <c r="B28" s="80"/>
      <c r="C28" s="23"/>
      <c r="D28" s="23"/>
      <c r="E28" s="23"/>
      <c r="F28" s="120"/>
      <c r="G28" s="23"/>
      <c r="H28" s="23"/>
      <c r="I28" s="23"/>
      <c r="J28" s="23"/>
      <c r="K28" s="91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8">
        <f>11624+Y37</f>
        <v>15960</v>
      </c>
      <c r="W28" s="23"/>
      <c r="X28" s="81"/>
    </row>
    <row r="29" spans="2:27" ht="16">
      <c r="B29" s="80"/>
      <c r="C29" s="23"/>
      <c r="D29" s="23"/>
      <c r="E29" s="23"/>
      <c r="F29" s="23"/>
      <c r="G29" s="23"/>
      <c r="H29" s="23"/>
      <c r="I29" s="88">
        <f>+Utilidad!N73</f>
        <v>253404.5749469843</v>
      </c>
      <c r="J29" s="23"/>
      <c r="K29" s="23"/>
      <c r="L29" s="23"/>
      <c r="M29" s="23"/>
      <c r="N29" s="86">
        <f>+Utilidad!N107</f>
        <v>1541.28</v>
      </c>
      <c r="O29" s="23"/>
      <c r="P29" s="23"/>
      <c r="Q29" s="23"/>
      <c r="R29" s="23"/>
      <c r="S29" s="23"/>
      <c r="T29" s="23"/>
      <c r="U29" s="23"/>
      <c r="V29" s="23"/>
      <c r="W29" s="23"/>
      <c r="X29" s="81"/>
    </row>
    <row r="30" spans="2:27" ht="16">
      <c r="B30" s="80"/>
      <c r="C30" s="23"/>
      <c r="D30" s="23"/>
      <c r="E30" s="23"/>
      <c r="F30" s="23"/>
      <c r="G30" s="23"/>
      <c r="H30" s="23"/>
      <c r="I30" s="91">
        <f>+Utilidad!O73</f>
        <v>0</v>
      </c>
      <c r="J30" s="117"/>
      <c r="K30" s="23"/>
      <c r="L30" s="23"/>
      <c r="M30" s="23"/>
      <c r="N30" s="87">
        <f>+Utilidad!O107</f>
        <v>0</v>
      </c>
      <c r="O30" s="23"/>
      <c r="P30" s="23"/>
      <c r="Q30" s="23"/>
      <c r="R30" s="23"/>
      <c r="S30" s="23"/>
      <c r="T30" s="23"/>
      <c r="U30" s="23"/>
      <c r="V30" s="8">
        <f>V28-Y37</f>
        <v>11624</v>
      </c>
      <c r="W30" s="23"/>
      <c r="X30" s="81"/>
      <c r="AA30" s="122">
        <f>4336-R35-Q40</f>
        <v>3950.68</v>
      </c>
    </row>
    <row r="31" spans="2:27" ht="16">
      <c r="B31" s="80"/>
      <c r="C31" s="23"/>
      <c r="D31" s="23"/>
      <c r="E31" s="23"/>
      <c r="F31" s="82">
        <f>+Utilidad!N75</f>
        <v>43011</v>
      </c>
      <c r="G31" s="23"/>
      <c r="H31" s="23"/>
      <c r="I31" s="92">
        <f>+Utilidad!P73</f>
        <v>0</v>
      </c>
      <c r="J31" s="23"/>
      <c r="K31" s="23"/>
      <c r="L31" s="23"/>
      <c r="M31" s="23"/>
      <c r="N31" s="90">
        <f>+Utilidad!P107</f>
        <v>0</v>
      </c>
      <c r="O31" s="23"/>
      <c r="P31" s="23"/>
      <c r="Q31" s="23"/>
      <c r="R31" s="23"/>
      <c r="S31" s="23"/>
      <c r="T31" s="23"/>
      <c r="U31" s="23"/>
      <c r="V31" s="23"/>
      <c r="W31" s="23"/>
      <c r="X31" s="81"/>
    </row>
    <row r="32" spans="2:27" ht="16">
      <c r="B32" s="80"/>
      <c r="C32" s="23"/>
      <c r="D32" s="23"/>
      <c r="E32" s="23"/>
      <c r="F32" s="83">
        <f>+Utilidad!O75</f>
        <v>0</v>
      </c>
      <c r="G32" s="23"/>
      <c r="H32" s="23"/>
      <c r="I32" s="23"/>
      <c r="J32" s="23"/>
      <c r="K32" s="23"/>
      <c r="L32" s="23"/>
      <c r="M32" s="23"/>
      <c r="O32" s="23"/>
      <c r="P32" s="146">
        <f>+Q32/O34</f>
        <v>0.2</v>
      </c>
      <c r="Q32" s="86">
        <f>+Utilidad!N108</f>
        <v>385.32</v>
      </c>
      <c r="R32" s="23"/>
      <c r="S32" s="23"/>
      <c r="T32" s="23"/>
      <c r="U32" s="23"/>
      <c r="V32" s="23"/>
      <c r="W32" s="23"/>
      <c r="X32" s="81"/>
    </row>
    <row r="33" spans="2:25" ht="16">
      <c r="B33" s="80"/>
      <c r="C33" s="23"/>
      <c r="D33" s="23"/>
      <c r="E33" s="23"/>
      <c r="F33" s="84">
        <f>+Utilidad!P75</f>
        <v>0</v>
      </c>
      <c r="G33" s="23"/>
      <c r="H33" s="23"/>
      <c r="I33" s="23"/>
      <c r="J33" s="23"/>
      <c r="K33" s="23"/>
      <c r="L33" s="23"/>
      <c r="M33" s="23"/>
      <c r="N33" s="23"/>
      <c r="O33" s="8"/>
      <c r="P33" s="23"/>
      <c r="Q33" s="87">
        <f>+Utilidad!O108</f>
        <v>0</v>
      </c>
      <c r="R33" s="23"/>
      <c r="S33" s="23"/>
      <c r="T33" s="23"/>
      <c r="U33" s="23"/>
      <c r="V33" s="23"/>
      <c r="W33" s="23"/>
      <c r="X33" s="81"/>
    </row>
    <row r="34" spans="2:25" ht="16">
      <c r="B34" s="80"/>
      <c r="C34" s="23"/>
      <c r="D34" s="23"/>
      <c r="E34" s="23"/>
      <c r="F34" s="23"/>
      <c r="G34" s="23"/>
      <c r="H34" s="23"/>
      <c r="I34" s="23"/>
      <c r="J34" s="88">
        <f>+Utilidad!N74</f>
        <v>1500</v>
      </c>
      <c r="K34" s="23"/>
      <c r="L34" s="23"/>
      <c r="M34" s="23"/>
      <c r="N34" s="23"/>
      <c r="O34" s="88">
        <f>+Utilidad!N106</f>
        <v>1926.6</v>
      </c>
      <c r="P34" s="23"/>
      <c r="Q34" s="90">
        <f>+Utilidad!P108</f>
        <v>0</v>
      </c>
      <c r="R34" s="23"/>
      <c r="S34" s="23"/>
      <c r="T34" s="23"/>
      <c r="U34" s="23"/>
      <c r="V34" s="23"/>
      <c r="W34" s="23"/>
      <c r="X34" s="81"/>
    </row>
    <row r="35" spans="2:25" ht="16">
      <c r="B35" s="80"/>
      <c r="C35" s="23"/>
      <c r="D35" s="23"/>
      <c r="E35" s="23"/>
      <c r="F35" s="23"/>
      <c r="G35" s="23"/>
      <c r="H35" s="23"/>
      <c r="I35" s="23"/>
      <c r="J35" s="91">
        <f>+Utilidad!O74</f>
        <v>0</v>
      </c>
      <c r="K35" s="23"/>
      <c r="L35" s="23"/>
      <c r="M35" s="23"/>
      <c r="N35" s="23"/>
      <c r="O35" s="91">
        <f>+Utilidad!O106</f>
        <v>0</v>
      </c>
      <c r="P35" s="23"/>
      <c r="Q35" s="23"/>
      <c r="R35" s="86">
        <f>+Utilidad!N109</f>
        <v>385.32</v>
      </c>
      <c r="S35" s="23"/>
      <c r="T35" s="23"/>
      <c r="U35" s="23"/>
      <c r="V35" s="23"/>
      <c r="W35" s="23"/>
      <c r="X35" s="81"/>
    </row>
    <row r="36" spans="2:25" ht="16">
      <c r="B36" s="80"/>
      <c r="C36" s="23"/>
      <c r="D36" s="23"/>
      <c r="E36" s="23"/>
      <c r="F36" s="23"/>
      <c r="G36" s="23"/>
      <c r="H36" s="23"/>
      <c r="I36" s="23"/>
      <c r="J36" s="92">
        <f>+Utilidad!P74</f>
        <v>0</v>
      </c>
      <c r="K36" s="23"/>
      <c r="L36" s="88">
        <f>+J34+J44+J53+K59</f>
        <v>13483.055953228601</v>
      </c>
      <c r="M36" s="23"/>
      <c r="O36" s="92">
        <f>+Utilidad!P106</f>
        <v>0</v>
      </c>
      <c r="P36" s="23"/>
      <c r="Q36" s="23"/>
      <c r="R36" s="87">
        <f>+Utilidad!O109</f>
        <v>0</v>
      </c>
      <c r="S36" s="23"/>
      <c r="T36" s="23"/>
      <c r="U36" s="23"/>
      <c r="V36" s="23"/>
      <c r="W36" s="23"/>
      <c r="X36" s="81"/>
    </row>
    <row r="37" spans="2:25" ht="16">
      <c r="B37" s="80"/>
      <c r="C37" s="23"/>
      <c r="D37" s="23"/>
      <c r="E37" s="23"/>
      <c r="F37" s="8">
        <f>+G53+F31+J34</f>
        <v>129140.5088</v>
      </c>
      <c r="G37" s="23"/>
      <c r="H37" s="23"/>
      <c r="I37" s="88">
        <f>+Utilidad!N76</f>
        <v>208893.5749469843</v>
      </c>
      <c r="J37" s="23"/>
      <c r="K37" s="23"/>
      <c r="L37" s="91">
        <f>+IF(L36&lt;&gt;0,(J34*J35+J44*J45+J53*J54+K59*K60)/L36,0)</f>
        <v>0</v>
      </c>
      <c r="M37" s="23"/>
      <c r="P37" s="23"/>
      <c r="Q37" s="23"/>
      <c r="R37" s="90">
        <f>+Utilidad!P109</f>
        <v>0</v>
      </c>
      <c r="S37" s="23"/>
      <c r="T37" s="23"/>
      <c r="U37" s="23"/>
      <c r="V37" s="23"/>
      <c r="W37" s="23"/>
      <c r="X37" s="81"/>
      <c r="Y37" s="122">
        <f>R35+AA30</f>
        <v>4336</v>
      </c>
    </row>
    <row r="38" spans="2:25" ht="16">
      <c r="B38" s="80"/>
      <c r="C38" s="23"/>
      <c r="D38" s="23"/>
      <c r="E38" s="23"/>
      <c r="F38" s="23">
        <f>+I37/I29</f>
        <v>0.82434808049810349</v>
      </c>
      <c r="G38" s="23"/>
      <c r="H38" s="23"/>
      <c r="I38" s="91">
        <f>+Utilidad!O76</f>
        <v>0</v>
      </c>
      <c r="J38" s="23"/>
      <c r="K38" s="23"/>
      <c r="L38" s="92">
        <f>+L36*L37</f>
        <v>0</v>
      </c>
      <c r="M38" s="85">
        <f>+Utilidad!N93</f>
        <v>13097.735953228599</v>
      </c>
      <c r="P38" s="23"/>
      <c r="Q38" s="23"/>
      <c r="R38" s="23"/>
      <c r="S38" s="23"/>
      <c r="T38" s="23"/>
      <c r="U38" s="23"/>
      <c r="V38" s="23"/>
      <c r="W38" s="23"/>
      <c r="X38" s="81"/>
    </row>
    <row r="39" spans="2:25" ht="16">
      <c r="B39" s="80"/>
      <c r="C39" s="23"/>
      <c r="D39" s="23"/>
      <c r="E39" s="23"/>
      <c r="F39" s="23"/>
      <c r="G39" s="23"/>
      <c r="H39" s="23"/>
      <c r="I39" s="92">
        <f>+Utilidad!P76</f>
        <v>0</v>
      </c>
      <c r="J39" s="23"/>
      <c r="K39" s="23"/>
      <c r="L39" s="23"/>
      <c r="M39" s="23"/>
      <c r="N39" s="23"/>
      <c r="O39" s="88">
        <f>+Utilidad!N112</f>
        <v>0</v>
      </c>
      <c r="P39" s="23"/>
      <c r="R39" s="23"/>
      <c r="S39" s="23"/>
      <c r="T39" s="86">
        <f>+Utilidad!N120</f>
        <v>0</v>
      </c>
      <c r="U39" s="23"/>
      <c r="V39" s="23"/>
      <c r="W39" s="23"/>
      <c r="X39" s="81"/>
      <c r="Y39" s="122">
        <f>N29+Y37</f>
        <v>5877.28</v>
      </c>
    </row>
    <row r="40" spans="2:25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91">
        <f>+Utilidad!O112</f>
        <v>0</v>
      </c>
      <c r="P40" s="23"/>
      <c r="Q40" s="86">
        <f>+Utilidad!N113</f>
        <v>0</v>
      </c>
      <c r="R40" s="23"/>
      <c r="S40" s="85">
        <f>+Utilidad!N121</f>
        <v>1688.6904</v>
      </c>
      <c r="T40" s="87">
        <f>+Utilidad!O120</f>
        <v>0</v>
      </c>
      <c r="U40" s="23"/>
      <c r="V40" s="23"/>
      <c r="W40" s="23"/>
      <c r="X40" s="81"/>
    </row>
    <row r="41" spans="2:25" ht="16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92">
        <f>+Utilidad!P112</f>
        <v>0</v>
      </c>
      <c r="P41" s="23"/>
      <c r="Q41" s="87">
        <f>+Utilidad!O113</f>
        <v>0</v>
      </c>
      <c r="R41" s="23"/>
      <c r="S41" s="92">
        <f>+Utilidad!P121</f>
        <v>0</v>
      </c>
      <c r="T41" s="90">
        <f>+Utilidad!P120</f>
        <v>0</v>
      </c>
      <c r="U41" s="23"/>
      <c r="V41" s="23"/>
      <c r="W41" s="23"/>
      <c r="X41" s="81"/>
    </row>
    <row r="42" spans="2:25" ht="16">
      <c r="B42" s="8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90">
        <f>+Utilidad!P113</f>
        <v>0</v>
      </c>
      <c r="R42" s="23"/>
      <c r="S42" s="23"/>
      <c r="T42" s="23"/>
      <c r="U42" s="23"/>
      <c r="V42" s="23"/>
      <c r="W42" s="23"/>
      <c r="X42" s="81"/>
    </row>
    <row r="43" spans="2:25">
      <c r="B43" s="8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P43" s="23"/>
      <c r="Q43" s="23"/>
      <c r="R43" s="23"/>
      <c r="S43" s="8"/>
      <c r="T43" s="23"/>
      <c r="U43" s="23"/>
      <c r="V43" s="23"/>
      <c r="W43" s="23"/>
      <c r="X43" s="81"/>
    </row>
    <row r="44" spans="2:25" ht="16">
      <c r="B44" s="80"/>
      <c r="C44" s="88">
        <f>+Utilidad!N89</f>
        <v>0</v>
      </c>
      <c r="D44" s="23"/>
      <c r="E44" s="23"/>
      <c r="F44" s="88">
        <f>+Utilidad!N87</f>
        <v>83478.372799999997</v>
      </c>
      <c r="G44" s="23"/>
      <c r="H44" s="23"/>
      <c r="I44" s="23"/>
      <c r="J44" s="88">
        <f>+Utilidad!N78</f>
        <v>0</v>
      </c>
      <c r="K44" s="23"/>
      <c r="L44" s="23"/>
      <c r="M44" s="23"/>
      <c r="O44" s="88">
        <f>+Utilidad!N111</f>
        <v>0</v>
      </c>
      <c r="P44" s="23"/>
      <c r="Q44" s="23"/>
      <c r="R44" s="23"/>
      <c r="S44" s="23"/>
      <c r="T44" s="23"/>
      <c r="U44" s="23"/>
      <c r="V44" s="23"/>
      <c r="W44" s="23"/>
      <c r="X44" s="81"/>
    </row>
    <row r="45" spans="2:25" ht="16">
      <c r="B45" s="80"/>
      <c r="C45" s="91">
        <f>+Utilidad!O89</f>
        <v>0</v>
      </c>
      <c r="D45" s="23"/>
      <c r="E45" s="23"/>
      <c r="F45" s="91">
        <f>+Utilidad!O87</f>
        <v>0</v>
      </c>
      <c r="G45" s="23"/>
      <c r="H45" s="23"/>
      <c r="I45" s="23"/>
      <c r="J45" s="91">
        <f>+Utilidad!O78</f>
        <v>0</v>
      </c>
      <c r="K45" s="23"/>
      <c r="L45" s="23"/>
      <c r="M45" s="23"/>
      <c r="O45" s="91">
        <f>+Utilidad!O111</f>
        <v>0</v>
      </c>
      <c r="P45" s="23"/>
      <c r="Q45" s="86"/>
      <c r="R45" s="86">
        <f>+Utilidad!N116</f>
        <v>1303.3704</v>
      </c>
      <c r="S45" s="8"/>
      <c r="T45" s="23"/>
      <c r="U45" s="23"/>
      <c r="V45" s="23"/>
      <c r="W45" s="88">
        <f>+Utilidad!N126</f>
        <v>0</v>
      </c>
      <c r="X45" s="81"/>
    </row>
    <row r="46" spans="2:25" ht="16">
      <c r="B46" s="80"/>
      <c r="C46" s="92">
        <f>+Utilidad!P89</f>
        <v>0</v>
      </c>
      <c r="D46" s="85">
        <f>+Utilidad!N88</f>
        <v>87216.858032629694</v>
      </c>
      <c r="E46" s="23"/>
      <c r="F46" s="92">
        <f>+Utilidad!P87</f>
        <v>0</v>
      </c>
      <c r="G46" s="23"/>
      <c r="H46" s="85">
        <f>+Utilidad!N77</f>
        <v>-870</v>
      </c>
      <c r="J46" s="92">
        <f>+Utilidad!P78</f>
        <v>0</v>
      </c>
      <c r="K46" s="23"/>
      <c r="L46" s="23"/>
      <c r="M46" s="85">
        <f>+Utilidad!N95</f>
        <v>1189.3055953229</v>
      </c>
      <c r="O46" s="92">
        <f>+Utilidad!P111</f>
        <v>0</v>
      </c>
      <c r="P46" s="23"/>
      <c r="Q46" s="87"/>
      <c r="R46" s="87">
        <f>+Utilidad!O116</f>
        <v>0</v>
      </c>
      <c r="S46" s="23"/>
      <c r="T46" s="23"/>
      <c r="U46" s="23"/>
      <c r="V46" s="23"/>
      <c r="W46" s="91">
        <f>+Utilidad!O126</f>
        <v>0</v>
      </c>
      <c r="X46" s="81"/>
    </row>
    <row r="47" spans="2:25" ht="16">
      <c r="B47" s="80"/>
      <c r="C47" s="23"/>
      <c r="D47" s="92">
        <f>+Utilidad!P88</f>
        <v>0</v>
      </c>
      <c r="E47" s="23"/>
      <c r="F47" s="23"/>
      <c r="G47" s="23"/>
      <c r="H47" s="92">
        <f>+Utilidad!P77</f>
        <v>0</v>
      </c>
      <c r="I47" s="23"/>
      <c r="J47" s="23"/>
      <c r="K47" s="23"/>
      <c r="L47" s="23"/>
      <c r="M47" s="92">
        <f>+Utilidad!P95</f>
        <v>0</v>
      </c>
      <c r="N47" s="23"/>
      <c r="O47" s="23"/>
      <c r="P47" s="23"/>
      <c r="Q47" s="90"/>
      <c r="R47" s="90">
        <f>+Utilidad!P116</f>
        <v>0</v>
      </c>
      <c r="S47" s="23"/>
      <c r="T47" s="23"/>
      <c r="U47" s="23"/>
      <c r="V47" s="23"/>
      <c r="W47" s="92">
        <f>+Utilidad!P126</f>
        <v>0</v>
      </c>
      <c r="X47" s="81"/>
      <c r="Y47" t="s">
        <v>16</v>
      </c>
    </row>
    <row r="48" spans="2:25" ht="16">
      <c r="B48" s="80"/>
      <c r="C48" s="23"/>
      <c r="D48" s="23"/>
      <c r="E48" s="23"/>
      <c r="F48" s="23"/>
      <c r="G48" s="23"/>
      <c r="H48" s="23"/>
      <c r="I48" s="88">
        <f>+Utilidad!N79</f>
        <v>209763.5749469843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86">
        <f>Utilidad!N124</f>
        <v>0</v>
      </c>
      <c r="U48" s="23"/>
      <c r="V48" s="23"/>
      <c r="W48" s="23"/>
      <c r="X48" s="81"/>
    </row>
    <row r="49" spans="2:25" ht="16">
      <c r="B49" s="80"/>
      <c r="C49" s="23"/>
      <c r="D49" s="88">
        <f>+Utilidad!N86</f>
        <v>1151.136</v>
      </c>
      <c r="E49" s="23"/>
      <c r="F49" s="23"/>
      <c r="G49" s="23"/>
      <c r="H49" s="23"/>
      <c r="I49" s="91">
        <f>+Utilidad!O79</f>
        <v>0</v>
      </c>
      <c r="J49" s="23"/>
      <c r="K49" s="23"/>
      <c r="L49" s="23"/>
      <c r="M49" s="23"/>
      <c r="P49" s="23"/>
      <c r="Q49" s="23"/>
      <c r="R49" s="23"/>
      <c r="S49" s="23"/>
      <c r="T49" s="87">
        <f>+Utilidad!O124</f>
        <v>0</v>
      </c>
      <c r="U49" s="23"/>
      <c r="V49" s="23"/>
      <c r="W49" s="23"/>
      <c r="X49" s="81"/>
    </row>
    <row r="50" spans="2:25" ht="16">
      <c r="B50" s="80"/>
      <c r="C50" s="23"/>
      <c r="D50" s="91">
        <f>+Utilidad!O86</f>
        <v>0</v>
      </c>
      <c r="E50" s="23"/>
      <c r="F50" s="23"/>
      <c r="G50" s="23"/>
      <c r="H50" s="23"/>
      <c r="I50" s="92">
        <f>+Utilidad!P79</f>
        <v>0</v>
      </c>
      <c r="J50" s="23"/>
      <c r="K50" s="142">
        <f>+L50/(F65+I57)</f>
        <v>9.0000000000003133E-3</v>
      </c>
      <c r="L50" s="88">
        <f>+Utilidad!N94</f>
        <v>1189.3055953229</v>
      </c>
      <c r="M50" s="23"/>
      <c r="P50" s="23"/>
      <c r="Q50" s="23"/>
      <c r="R50" s="23"/>
      <c r="S50" s="23"/>
      <c r="T50" s="90">
        <f>+Utilidad!P124</f>
        <v>0</v>
      </c>
      <c r="U50" s="23"/>
      <c r="V50" s="23"/>
      <c r="W50" s="23"/>
      <c r="X50" s="81"/>
    </row>
    <row r="51" spans="2:25" ht="16">
      <c r="B51" s="80"/>
      <c r="C51" s="23"/>
      <c r="D51" s="92">
        <f>+Utilidad!P86</f>
        <v>0</v>
      </c>
      <c r="E51" s="23"/>
      <c r="F51" s="23"/>
      <c r="G51" s="23"/>
      <c r="H51" s="23"/>
      <c r="I51" s="23"/>
      <c r="J51" s="23"/>
      <c r="K51" s="23"/>
      <c r="L51" s="91">
        <f>+Utilidad!O94</f>
        <v>0</v>
      </c>
      <c r="M51" s="23"/>
      <c r="O51" s="86">
        <f>+Utilidad!N115</f>
        <v>10861.42</v>
      </c>
      <c r="P51" s="23"/>
      <c r="Q51" s="23"/>
      <c r="R51" s="86">
        <f>+Utilidad!N117</f>
        <v>0</v>
      </c>
      <c r="S51" s="23"/>
      <c r="T51" s="23"/>
      <c r="U51" s="23"/>
      <c r="V51" s="23"/>
      <c r="W51" s="23"/>
      <c r="X51" s="81"/>
    </row>
    <row r="52" spans="2:25" ht="16">
      <c r="B52" s="80"/>
      <c r="C52" s="23"/>
      <c r="D52" s="23"/>
      <c r="E52" s="23"/>
      <c r="F52" s="23"/>
      <c r="G52" s="23"/>
      <c r="H52" s="23"/>
      <c r="I52" s="23"/>
      <c r="J52" s="23"/>
      <c r="K52" s="23"/>
      <c r="L52" s="92">
        <f>+Utilidad!P94</f>
        <v>0</v>
      </c>
      <c r="M52" s="23"/>
      <c r="N52" s="23"/>
      <c r="O52" s="87">
        <f>+Utilidad!O115</f>
        <v>0</v>
      </c>
      <c r="P52" s="23"/>
      <c r="Q52" s="23"/>
      <c r="R52" s="87">
        <f>+Utilidad!O117</f>
        <v>0</v>
      </c>
      <c r="S52" s="23"/>
      <c r="T52" s="23"/>
      <c r="U52" s="8">
        <f>R45+R35</f>
        <v>1688.6904</v>
      </c>
      <c r="V52" s="23"/>
      <c r="W52" s="23"/>
      <c r="X52" s="81"/>
    </row>
    <row r="53" spans="2:25" ht="16">
      <c r="B53" s="80"/>
      <c r="C53" s="23"/>
      <c r="D53" s="23"/>
      <c r="E53" s="23"/>
      <c r="F53" s="23"/>
      <c r="G53" s="88">
        <f>+Utilidad!N80</f>
        <v>84629.508799999996</v>
      </c>
      <c r="H53" s="23"/>
      <c r="I53" s="23"/>
      <c r="J53" s="88">
        <f>+Utilidad!N82</f>
        <v>0</v>
      </c>
      <c r="K53" s="23"/>
      <c r="L53" s="23"/>
      <c r="M53" s="23"/>
      <c r="N53" s="23"/>
      <c r="O53" s="90">
        <f>+Utilidad!P115</f>
        <v>0</v>
      </c>
      <c r="P53" s="23"/>
      <c r="Q53" s="23"/>
      <c r="R53" s="90">
        <f>+Utilidad!P117</f>
        <v>0</v>
      </c>
      <c r="T53" s="23"/>
      <c r="U53" s="23"/>
      <c r="V53" s="23"/>
      <c r="W53" s="23"/>
      <c r="X53" s="81"/>
    </row>
    <row r="54" spans="2:25" ht="16">
      <c r="B54" s="80"/>
      <c r="C54" s="23"/>
      <c r="D54" s="23"/>
      <c r="E54" s="23"/>
      <c r="F54" s="23"/>
      <c r="G54" s="91">
        <f>+Utilidad!O80</f>
        <v>0</v>
      </c>
      <c r="H54" s="23"/>
      <c r="I54" s="23"/>
      <c r="J54" s="91">
        <f>+Utilidad!O82</f>
        <v>0</v>
      </c>
      <c r="K54" s="23"/>
      <c r="L54" s="23"/>
      <c r="M54" s="23"/>
      <c r="N54" s="23"/>
      <c r="O54" s="23"/>
      <c r="P54" s="23"/>
      <c r="Q54" s="23"/>
      <c r="R54" s="90"/>
      <c r="S54" s="23"/>
      <c r="T54" s="23"/>
      <c r="U54" s="23"/>
      <c r="V54" s="23"/>
      <c r="W54" s="23"/>
      <c r="X54" s="81"/>
    </row>
    <row r="55" spans="2:25" ht="16">
      <c r="B55" s="80"/>
      <c r="C55" s="23"/>
      <c r="D55" s="23"/>
      <c r="E55" s="93">
        <f>+Utilidad!N83</f>
        <v>1151.136</v>
      </c>
      <c r="F55" s="23"/>
      <c r="G55" s="92">
        <f>+Utilidad!P80</f>
        <v>0</v>
      </c>
      <c r="H55" s="23"/>
      <c r="I55" s="23"/>
      <c r="J55" s="92">
        <f>+Utilidad!P82</f>
        <v>0</v>
      </c>
      <c r="K55" s="23"/>
      <c r="L55" s="23"/>
      <c r="N55" s="23"/>
      <c r="P55" s="23"/>
      <c r="Q55" s="23"/>
      <c r="R55" s="23"/>
      <c r="S55" s="23"/>
      <c r="T55" s="23"/>
      <c r="U55" s="23"/>
      <c r="V55" s="23"/>
      <c r="W55" s="23"/>
      <c r="X55" s="81"/>
    </row>
    <row r="56" spans="2:25" ht="16">
      <c r="B56" s="80"/>
      <c r="C56" s="23"/>
      <c r="D56" s="23"/>
      <c r="E56" s="94">
        <f>+Utilidad!O83</f>
        <v>0</v>
      </c>
      <c r="F56" s="23"/>
      <c r="G56" s="23"/>
      <c r="H56" s="23"/>
      <c r="I56" s="23"/>
      <c r="J56" s="23"/>
      <c r="K56" s="23"/>
      <c r="L56" s="91"/>
      <c r="M56" s="23"/>
      <c r="N56" s="23"/>
      <c r="O56" s="85">
        <f>+Utilidad!N102</f>
        <v>-6548.9178960949002</v>
      </c>
      <c r="P56" s="23"/>
      <c r="Q56" s="23"/>
      <c r="R56" s="88">
        <f>+Utilidad!N118</f>
        <v>9558.0496000000003</v>
      </c>
      <c r="T56" s="23"/>
      <c r="U56" s="23"/>
      <c r="V56" s="23"/>
      <c r="W56" s="23"/>
      <c r="X56" s="81"/>
    </row>
    <row r="57" spans="2:25" ht="16">
      <c r="B57" s="80"/>
      <c r="C57" s="23"/>
      <c r="D57" s="85">
        <f>+E55-D49-E60</f>
        <v>0</v>
      </c>
      <c r="E57" s="95">
        <f>+Utilidad!P83</f>
        <v>0</v>
      </c>
      <c r="F57" s="23"/>
      <c r="G57" s="23"/>
      <c r="H57" s="23"/>
      <c r="I57" s="88">
        <f>+Utilidad!N81</f>
        <v>125134.0661469843</v>
      </c>
      <c r="J57" s="23"/>
      <c r="K57" s="23"/>
      <c r="L57" s="23"/>
      <c r="M57" s="23"/>
      <c r="O57" s="92">
        <f>+Utilidad!P102</f>
        <v>0</v>
      </c>
      <c r="P57" s="23"/>
      <c r="Q57" s="23"/>
      <c r="R57" s="91">
        <f>+Utilidad!O118</f>
        <v>0</v>
      </c>
      <c r="S57" s="85">
        <f>+Utilidad!N125</f>
        <v>0</v>
      </c>
      <c r="T57" s="23"/>
      <c r="U57" s="23"/>
      <c r="V57" s="23"/>
      <c r="W57" s="23"/>
      <c r="X57" s="81"/>
    </row>
    <row r="58" spans="2:25" ht="16">
      <c r="B58" s="80"/>
      <c r="C58" s="23"/>
      <c r="D58" s="23"/>
      <c r="E58" s="23"/>
      <c r="F58" s="23"/>
      <c r="G58" s="23"/>
      <c r="H58" s="23"/>
      <c r="I58" s="91">
        <f>+Utilidad!O81</f>
        <v>0</v>
      </c>
      <c r="J58" s="23"/>
      <c r="K58" s="23"/>
      <c r="L58" s="23"/>
      <c r="N58" s="86">
        <f>+Utilidad!N101</f>
        <v>4312.5021039050998</v>
      </c>
      <c r="O58" s="23"/>
      <c r="P58" s="23"/>
      <c r="Q58" s="23"/>
      <c r="R58" s="92">
        <f>+Utilidad!P118</f>
        <v>0</v>
      </c>
      <c r="S58" s="92">
        <f>+Utilidad!P125</f>
        <v>0</v>
      </c>
      <c r="T58" s="23"/>
      <c r="U58" s="23"/>
      <c r="V58" s="23"/>
      <c r="W58" s="23"/>
      <c r="X58" s="81"/>
    </row>
    <row r="59" spans="2:25" ht="16">
      <c r="B59" s="80"/>
      <c r="C59" s="23"/>
      <c r="D59" s="23"/>
      <c r="E59" s="23"/>
      <c r="F59" s="23"/>
      <c r="G59" s="23"/>
      <c r="H59" s="23"/>
      <c r="I59" s="92">
        <f>+Utilidad!P81</f>
        <v>0</v>
      </c>
      <c r="J59" s="142">
        <f>+K59/(I57+F65)</f>
        <v>9.0681069695783476E-2</v>
      </c>
      <c r="K59" s="88">
        <f>+Utilidad!N92</f>
        <v>11983.055953228601</v>
      </c>
      <c r="L59" s="23"/>
      <c r="N59" s="87">
        <f>+Utilidad!O101</f>
        <v>0</v>
      </c>
      <c r="O59" s="23"/>
      <c r="P59" s="23"/>
      <c r="Q59" s="23"/>
      <c r="R59" s="23"/>
      <c r="S59" s="23"/>
      <c r="T59" s="23"/>
      <c r="U59" s="23"/>
      <c r="V59" s="23"/>
      <c r="W59" s="23"/>
      <c r="X59" s="81"/>
    </row>
    <row r="60" spans="2:25" ht="16">
      <c r="B60" s="80"/>
      <c r="C60" s="23"/>
      <c r="D60" s="23"/>
      <c r="E60" s="88">
        <f>+Utilidad!N85</f>
        <v>0</v>
      </c>
      <c r="F60" s="23"/>
      <c r="G60" s="23"/>
      <c r="H60" s="23"/>
      <c r="I60" s="23"/>
      <c r="J60" s="23"/>
      <c r="K60" s="91">
        <f>+Utilidad!O92</f>
        <v>0</v>
      </c>
      <c r="L60" s="23"/>
      <c r="N60" s="90">
        <f>+Utilidad!P101</f>
        <v>0</v>
      </c>
      <c r="O60" s="23"/>
      <c r="P60" s="23"/>
      <c r="Q60" s="23"/>
      <c r="R60" s="23"/>
      <c r="S60" s="23"/>
      <c r="T60" s="23"/>
      <c r="U60" s="23"/>
      <c r="V60" s="23"/>
      <c r="W60" s="23"/>
      <c r="X60" s="81"/>
    </row>
    <row r="61" spans="2:25" ht="16">
      <c r="B61" s="80"/>
      <c r="C61" s="23"/>
      <c r="D61" s="23"/>
      <c r="E61" s="91">
        <f>+Utilidad!O85</f>
        <v>0</v>
      </c>
      <c r="F61" s="23"/>
      <c r="G61" s="23"/>
      <c r="H61" s="23"/>
      <c r="I61" s="23"/>
      <c r="J61" s="23"/>
      <c r="K61" s="92">
        <f>+Utilidad!P92</f>
        <v>0</v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81"/>
    </row>
    <row r="62" spans="2:25" ht="16">
      <c r="B62" s="80"/>
      <c r="C62" s="23"/>
      <c r="D62" s="23"/>
      <c r="E62" s="92">
        <f>+Utilidad!P85</f>
        <v>0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R62" s="88">
        <f>+Utilidad!N103</f>
        <v>108207.245</v>
      </c>
      <c r="S62" s="23"/>
      <c r="T62" s="86">
        <f>+Utilidad!N105</f>
        <v>0</v>
      </c>
      <c r="U62" s="23"/>
      <c r="V62" s="23"/>
      <c r="W62" s="23"/>
      <c r="X62" s="81"/>
    </row>
    <row r="63" spans="2:25" ht="16">
      <c r="B63" s="8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R63" s="91">
        <f>+Utilidad!O103</f>
        <v>0</v>
      </c>
      <c r="S63" s="23"/>
      <c r="T63" s="87">
        <f>+Utilidad!O105</f>
        <v>0</v>
      </c>
      <c r="U63" s="23"/>
      <c r="V63" s="23"/>
      <c r="W63" s="23"/>
      <c r="X63" s="81"/>
    </row>
    <row r="64" spans="2:25" ht="16">
      <c r="B64" s="8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R64" s="92">
        <f>+Utilidad!P103</f>
        <v>0</v>
      </c>
      <c r="S64" s="23"/>
      <c r="T64" s="90">
        <f>+Utilidad!P105</f>
        <v>0</v>
      </c>
      <c r="U64" s="23"/>
      <c r="V64" s="23"/>
      <c r="W64" s="23"/>
      <c r="X64" s="81"/>
      <c r="Y64" s="10"/>
    </row>
    <row r="65" spans="2:24" ht="16">
      <c r="B65" s="80"/>
      <c r="C65" s="23"/>
      <c r="D65" s="23"/>
      <c r="E65" s="23"/>
      <c r="F65" s="88">
        <f>+Utilidad!N90</f>
        <v>7011</v>
      </c>
      <c r="G65" s="23"/>
      <c r="H65" s="23"/>
      <c r="I65" s="23"/>
      <c r="J65" s="23">
        <f>+K59/H67</f>
        <v>9.0681069695783476E-2</v>
      </c>
      <c r="K65" s="23"/>
      <c r="L65" s="23"/>
      <c r="M65" s="23"/>
      <c r="N65" s="23"/>
      <c r="O65" s="23"/>
      <c r="P65" s="23"/>
      <c r="Q65" s="23"/>
      <c r="R65" s="23"/>
      <c r="S65" s="85">
        <f>+Utilidad!N104</f>
        <v>117765.29459999999</v>
      </c>
      <c r="T65" s="23"/>
      <c r="U65" s="23"/>
      <c r="V65" s="23"/>
      <c r="W65" s="23"/>
      <c r="X65" s="96"/>
    </row>
    <row r="66" spans="2:24" ht="16">
      <c r="B66" s="80"/>
      <c r="C66" s="23"/>
      <c r="D66" s="23"/>
      <c r="E66" s="23"/>
      <c r="F66" s="91">
        <f>+Utilidad!O90</f>
        <v>0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90">
        <f>+Utilidad!P104</f>
        <v>0</v>
      </c>
      <c r="T66" s="23"/>
      <c r="U66" s="23"/>
      <c r="V66" s="23"/>
      <c r="W66" s="23"/>
      <c r="X66" s="81"/>
    </row>
    <row r="67" spans="2:24" ht="16">
      <c r="B67" s="80"/>
      <c r="C67" s="23"/>
      <c r="D67" s="23"/>
      <c r="E67" s="23"/>
      <c r="F67" s="92">
        <f>+Utilidad!P90</f>
        <v>0</v>
      </c>
      <c r="G67" s="23"/>
      <c r="H67" s="86">
        <f>+Utilidad!N91</f>
        <v>132145.06614698429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97"/>
    </row>
    <row r="68" spans="2:24" ht="16">
      <c r="B68" s="80"/>
      <c r="C68" s="23"/>
      <c r="D68" s="23"/>
      <c r="E68" s="23"/>
      <c r="F68" s="23"/>
      <c r="G68" s="23"/>
      <c r="H68" s="87">
        <f>+Utilidad!O91</f>
        <v>0</v>
      </c>
      <c r="I68" s="23"/>
      <c r="J68" s="23"/>
      <c r="K68" s="23"/>
      <c r="L68" s="86">
        <f>+Utilidad!N98</f>
        <v>123260.6</v>
      </c>
      <c r="M68" s="23"/>
      <c r="N68" s="23"/>
      <c r="O68" s="88">
        <f>+Utilidad!N99</f>
        <v>0</v>
      </c>
      <c r="P68" s="23"/>
      <c r="Q68" s="8"/>
      <c r="R68" s="8"/>
      <c r="S68" s="23"/>
      <c r="T68" s="23"/>
      <c r="U68" s="86">
        <f>+C44</f>
        <v>0</v>
      </c>
      <c r="V68" s="23"/>
      <c r="W68" s="23"/>
      <c r="X68" s="97"/>
    </row>
    <row r="69" spans="2:24" ht="16">
      <c r="B69" s="80"/>
      <c r="C69" s="23"/>
      <c r="D69" s="23"/>
      <c r="E69" s="23"/>
      <c r="F69" s="23"/>
      <c r="G69" s="23"/>
      <c r="H69" s="90">
        <f>+Utilidad!P91</f>
        <v>0</v>
      </c>
      <c r="I69" s="23"/>
      <c r="J69" s="23"/>
      <c r="K69" s="23"/>
      <c r="L69" s="87">
        <f>+Utilidad!O98</f>
        <v>0</v>
      </c>
      <c r="M69" s="23"/>
      <c r="N69" s="23"/>
      <c r="O69" s="91">
        <f>+Utilidad!O99</f>
        <v>0</v>
      </c>
      <c r="P69" s="23"/>
      <c r="Q69" s="23"/>
      <c r="R69" s="23"/>
      <c r="S69" s="23"/>
      <c r="T69" s="23"/>
      <c r="U69" s="87">
        <f t="shared" ref="U69:U70" si="0">+C45</f>
        <v>0</v>
      </c>
      <c r="V69" s="23"/>
      <c r="W69" s="23"/>
      <c r="X69" s="81"/>
    </row>
    <row r="70" spans="2:24" ht="16">
      <c r="B70" s="80"/>
      <c r="C70" s="23"/>
      <c r="D70" s="23"/>
      <c r="E70" s="23"/>
      <c r="F70" s="23"/>
      <c r="G70" s="23"/>
      <c r="H70" s="23"/>
      <c r="I70" s="23"/>
      <c r="J70" s="23"/>
      <c r="K70" s="23"/>
      <c r="L70" s="90">
        <f>+Utilidad!P98</f>
        <v>0</v>
      </c>
      <c r="M70" s="23"/>
      <c r="N70" s="23"/>
      <c r="O70" s="92">
        <f>+Utilidad!P99</f>
        <v>0</v>
      </c>
      <c r="P70" s="23"/>
      <c r="Q70" s="23"/>
      <c r="R70" s="23"/>
      <c r="S70" s="23"/>
      <c r="T70" s="23"/>
      <c r="U70" s="90">
        <f t="shared" si="0"/>
        <v>0</v>
      </c>
      <c r="V70" s="23"/>
      <c r="W70" s="23"/>
      <c r="X70" s="81"/>
    </row>
    <row r="71" spans="2:24" ht="16">
      <c r="B71" s="8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86">
        <f>+Utilidad!N114</f>
        <v>0</v>
      </c>
      <c r="Q71" s="23"/>
      <c r="R71" s="23"/>
      <c r="S71" s="23"/>
      <c r="T71" s="23"/>
      <c r="U71" s="23"/>
      <c r="V71" s="23"/>
      <c r="W71" s="23"/>
      <c r="X71" s="81"/>
    </row>
    <row r="72" spans="2:24" ht="16">
      <c r="B72" s="8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86">
        <f>+Utilidad!N97</f>
        <v>3287.8954015671002</v>
      </c>
      <c r="N72" s="23"/>
      <c r="O72" s="23"/>
      <c r="P72" s="87">
        <f>+Utilidad!O114</f>
        <v>0</v>
      </c>
      <c r="Q72" s="23"/>
      <c r="R72" s="23"/>
      <c r="S72" s="23"/>
      <c r="T72" s="23"/>
      <c r="U72" s="23"/>
      <c r="V72" s="23"/>
      <c r="W72" s="23"/>
      <c r="X72" s="81"/>
    </row>
    <row r="73" spans="2:24" ht="16">
      <c r="B73" s="8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87">
        <f>+Utilidad!O97</f>
        <v>0</v>
      </c>
      <c r="N73" s="23"/>
      <c r="O73" s="23"/>
      <c r="P73" s="90">
        <f>+Utilidad!P114</f>
        <v>0</v>
      </c>
      <c r="Q73" s="23"/>
      <c r="R73" s="23"/>
      <c r="S73" s="23"/>
      <c r="T73" s="23"/>
      <c r="U73" s="23"/>
      <c r="V73" s="23"/>
      <c r="W73" s="23"/>
      <c r="X73" s="97"/>
    </row>
    <row r="74" spans="2:24" ht="16">
      <c r="B74" s="80"/>
      <c r="C74" s="23"/>
      <c r="D74" s="23"/>
      <c r="E74" s="23"/>
      <c r="F74" s="23"/>
      <c r="G74" s="88">
        <f>+Utilidad!N96</f>
        <v>1000</v>
      </c>
      <c r="H74" s="23"/>
      <c r="I74" s="23"/>
      <c r="J74" s="23"/>
      <c r="K74" s="23"/>
      <c r="L74" s="23"/>
      <c r="M74" s="90">
        <f>+Utilidad!P97</f>
        <v>0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81"/>
    </row>
    <row r="75" spans="2:24" ht="16">
      <c r="B75" s="80"/>
      <c r="C75" s="23"/>
      <c r="D75" s="23"/>
      <c r="E75" s="23"/>
      <c r="F75" s="23"/>
      <c r="G75" s="91">
        <f>+Utilidad!O96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81"/>
    </row>
    <row r="76" spans="2:24" ht="16">
      <c r="B76" s="80"/>
      <c r="C76" s="23"/>
      <c r="D76" s="23"/>
      <c r="E76" s="23"/>
      <c r="F76" s="23"/>
      <c r="G76" s="92">
        <f>+Utilidad!P96</f>
        <v>0</v>
      </c>
      <c r="H76" s="23"/>
      <c r="I76" s="23"/>
      <c r="J76" s="23"/>
      <c r="K76" s="8"/>
      <c r="L76" s="23"/>
      <c r="M76" s="23"/>
      <c r="N76" s="23"/>
      <c r="O76" s="85">
        <f>+Utilidad!N100</f>
        <v>-3287.8954015671002</v>
      </c>
      <c r="P76" s="23"/>
      <c r="Q76" s="23"/>
      <c r="R76" s="23"/>
      <c r="S76" s="23"/>
      <c r="T76" s="23"/>
      <c r="U76" s="23"/>
      <c r="V76" s="23"/>
      <c r="W76" s="23"/>
      <c r="X76" s="81"/>
    </row>
    <row r="77" spans="2:24" ht="16">
      <c r="B77" s="8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2">
        <f>+Utilidad!P100</f>
        <v>0</v>
      </c>
      <c r="P77" s="23"/>
      <c r="Q77" s="23"/>
      <c r="R77" s="23"/>
      <c r="S77" s="23"/>
      <c r="T77" s="23"/>
      <c r="U77" s="23"/>
      <c r="V77" s="23"/>
      <c r="W77" s="23"/>
      <c r="X77" s="81"/>
    </row>
    <row r="78" spans="2:24">
      <c r="B78" s="8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81"/>
    </row>
    <row r="79" spans="2:24">
      <c r="B79" s="8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81"/>
    </row>
    <row r="80" spans="2:24">
      <c r="B80" s="80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81"/>
    </row>
    <row r="81" spans="2:25">
      <c r="B81" s="8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81"/>
    </row>
    <row r="82" spans="2:25" ht="16" thickBot="1">
      <c r="B82" s="98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100"/>
    </row>
    <row r="83" spans="2:25">
      <c r="K83">
        <v>264039</v>
      </c>
      <c r="P83" s="121"/>
      <c r="Q83" s="121"/>
    </row>
    <row r="84" spans="2:25" ht="15.75" customHeight="1">
      <c r="E84" s="143"/>
      <c r="F84" s="143"/>
      <c r="G84" s="121"/>
      <c r="H84" s="422" t="s">
        <v>119</v>
      </c>
      <c r="I84" s="422"/>
      <c r="J84" s="422"/>
      <c r="K84" s="121"/>
      <c r="L84" s="121"/>
      <c r="M84" s="121"/>
      <c r="N84" s="121"/>
      <c r="O84" s="121"/>
      <c r="P84" s="121"/>
      <c r="Q84" s="121"/>
      <c r="S84" s="121"/>
      <c r="T84" s="121"/>
      <c r="U84" s="121"/>
      <c r="V84" s="121"/>
      <c r="W84" s="121"/>
      <c r="X84" s="121"/>
      <c r="Y84" s="121"/>
    </row>
    <row r="85" spans="2:25" ht="32">
      <c r="C85" s="423" t="s">
        <v>71</v>
      </c>
      <c r="D85" s="424"/>
      <c r="E85" s="138" t="s">
        <v>101</v>
      </c>
      <c r="F85" s="125" t="s">
        <v>117</v>
      </c>
      <c r="G85" s="125" t="s">
        <v>102</v>
      </c>
      <c r="H85" s="138" t="s">
        <v>174</v>
      </c>
      <c r="I85" s="138" t="s">
        <v>175</v>
      </c>
      <c r="J85" s="138" t="s">
        <v>120</v>
      </c>
      <c r="K85" s="138" t="s">
        <v>121</v>
      </c>
      <c r="L85" s="125" t="s">
        <v>99</v>
      </c>
      <c r="M85" s="125" t="s">
        <v>100</v>
      </c>
      <c r="N85" s="125" t="s">
        <v>118</v>
      </c>
      <c r="O85" s="125" t="s">
        <v>105</v>
      </c>
      <c r="P85" s="138" t="s">
        <v>111</v>
      </c>
      <c r="Q85" s="147" t="s">
        <v>112</v>
      </c>
      <c r="R85" s="26"/>
      <c r="S85" s="26"/>
      <c r="T85" s="121"/>
      <c r="U85" s="121"/>
      <c r="V85" s="121"/>
      <c r="W85" s="121"/>
      <c r="X85" s="121"/>
      <c r="Y85" s="121"/>
    </row>
    <row r="86" spans="2:25" ht="18" customHeight="1">
      <c r="B86" s="122">
        <f>'Datos Extra'!C2</f>
        <v>0</v>
      </c>
      <c r="C86" s="425" t="s">
        <v>91</v>
      </c>
      <c r="D86" s="426"/>
      <c r="E86" s="135">
        <f>+R62/(1-'Datos Extra'!E2)</f>
        <v>108207.245</v>
      </c>
      <c r="F86" s="126"/>
      <c r="G86" s="135" t="e">
        <f>+T62/(1-Flujos!#REF!)</f>
        <v>#REF!</v>
      </c>
      <c r="H86" s="135"/>
      <c r="I86" s="135"/>
      <c r="J86" s="135">
        <f>+E86+H86</f>
        <v>108207.245</v>
      </c>
      <c r="K86" s="135" t="e">
        <f>+G86+I86</f>
        <v>#REF!</v>
      </c>
      <c r="L86" s="126">
        <v>235613</v>
      </c>
      <c r="M86" s="127" t="e">
        <f>+L86+J86-K86+F86</f>
        <v>#REF!</v>
      </c>
      <c r="N86" s="126"/>
      <c r="O86" s="132"/>
      <c r="P86" s="129">
        <v>79.209999999999994</v>
      </c>
      <c r="Q86" s="148">
        <f>+O86*P86</f>
        <v>0</v>
      </c>
      <c r="R86" s="150"/>
      <c r="S86" s="145"/>
      <c r="T86" s="121"/>
      <c r="U86" s="121"/>
      <c r="V86" s="26">
        <v>65.569999999999993</v>
      </c>
      <c r="W86" s="121"/>
      <c r="X86" s="121"/>
      <c r="Y86" s="121"/>
    </row>
    <row r="87" spans="2:25" ht="14.5" customHeight="1">
      <c r="B87" s="122">
        <f>+'[3]Nuevo Ingreso Dat Plantas'!C73</f>
        <v>8105.2783565110067</v>
      </c>
      <c r="C87" s="425" t="s">
        <v>92</v>
      </c>
      <c r="D87" s="426"/>
      <c r="E87" s="133" t="e">
        <f>+N58/(1-Flujos!#REF!)</f>
        <v>#REF!</v>
      </c>
      <c r="F87" s="126"/>
      <c r="G87" s="133">
        <f>IF(T48&gt;0,T48/(1-Flujos!#REF!),0)</f>
        <v>0</v>
      </c>
      <c r="H87" s="133"/>
      <c r="I87" s="133"/>
      <c r="J87" s="133" t="e">
        <f t="shared" ref="J87:J92" si="1">+E87+H87</f>
        <v>#REF!</v>
      </c>
      <c r="K87" s="133">
        <f t="shared" ref="K87:K88" si="2">+G87+I87</f>
        <v>0</v>
      </c>
      <c r="L87" s="128">
        <v>50216</v>
      </c>
      <c r="M87" s="130" t="e">
        <f t="shared" ref="M87" si="3">+L87+J87-K87+F87</f>
        <v>#REF!</v>
      </c>
      <c r="N87" s="128"/>
      <c r="O87" s="132"/>
      <c r="P87" s="129">
        <v>33.365380000000002</v>
      </c>
      <c r="Q87" s="148">
        <f t="shared" ref="Q87:Q98" si="4">+O87*P87</f>
        <v>0</v>
      </c>
      <c r="R87" s="150"/>
      <c r="S87" s="145"/>
      <c r="T87" s="121"/>
      <c r="U87" s="121"/>
      <c r="V87" s="26">
        <v>65.540000000000006</v>
      </c>
      <c r="W87" s="121"/>
      <c r="X87" s="121"/>
      <c r="Y87" s="121"/>
    </row>
    <row r="88" spans="2:25" ht="14.5" customHeight="1">
      <c r="B88" s="122">
        <f>+'[3]Nuevo Ingreso Dat Plantas'!C68+'[3]Nuevo Ingreso Dat Plantas'!C67</f>
        <v>136144</v>
      </c>
      <c r="C88" s="425" t="s">
        <v>93</v>
      </c>
      <c r="D88" s="426"/>
      <c r="E88" s="133" t="e">
        <f>+(F44+D49)/(1-Flujos!#REF!)</f>
        <v>#REF!</v>
      </c>
      <c r="F88" s="126"/>
      <c r="G88" s="133" t="e">
        <f>+U68/(1-Flujos!#REF!)</f>
        <v>#REF!</v>
      </c>
      <c r="H88" s="133"/>
      <c r="I88" s="133"/>
      <c r="J88" s="133" t="e">
        <f>+E88+H88</f>
        <v>#REF!</v>
      </c>
      <c r="K88" s="133" t="e">
        <f t="shared" si="2"/>
        <v>#REF!</v>
      </c>
      <c r="L88" s="128">
        <v>95389</v>
      </c>
      <c r="M88" s="130" t="e">
        <f>+L88+J88-K88+F88</f>
        <v>#REF!</v>
      </c>
      <c r="N88" s="136"/>
      <c r="O88" s="132"/>
      <c r="P88" s="129">
        <v>39.83</v>
      </c>
      <c r="Q88" s="148">
        <f t="shared" si="4"/>
        <v>0</v>
      </c>
      <c r="R88" s="150"/>
      <c r="S88" s="145"/>
      <c r="T88" s="121"/>
      <c r="U88" s="121"/>
      <c r="V88" s="26">
        <v>68.400000000000006</v>
      </c>
      <c r="W88" s="121"/>
      <c r="X88" s="121"/>
      <c r="Y88" s="121"/>
    </row>
    <row r="89" spans="2:25" ht="14.5" customHeight="1">
      <c r="B89" s="122">
        <f>+'[3]Nuevo Ingreso Dat Plantas'!C59</f>
        <v>356568</v>
      </c>
      <c r="C89" s="425" t="s">
        <v>94</v>
      </c>
      <c r="D89" s="426"/>
      <c r="E89" s="128" t="e">
        <f>+I19/(1-Flujos!#REF!)</f>
        <v>#REF!</v>
      </c>
      <c r="F89" s="126"/>
      <c r="G89" s="128"/>
      <c r="H89" s="128"/>
      <c r="I89" s="128"/>
      <c r="J89" s="128"/>
      <c r="K89" s="128"/>
      <c r="L89" s="128"/>
      <c r="M89" s="130"/>
      <c r="N89" s="128"/>
      <c r="O89" s="132"/>
      <c r="P89" s="129"/>
      <c r="Q89" s="148">
        <f t="shared" si="4"/>
        <v>0</v>
      </c>
      <c r="R89" s="150"/>
      <c r="S89" s="26"/>
      <c r="T89" s="121"/>
      <c r="U89" s="121"/>
      <c r="V89" s="121"/>
      <c r="W89" s="121"/>
      <c r="X89" s="121"/>
      <c r="Y89" s="121"/>
    </row>
    <row r="90" spans="2:25" ht="14.5" customHeight="1">
      <c r="B90" s="121"/>
      <c r="C90" s="425" t="s">
        <v>95</v>
      </c>
      <c r="D90" s="426"/>
      <c r="E90" s="128">
        <f>+I37/(1-0.0087)</f>
        <v>210726.89896800596</v>
      </c>
      <c r="F90" s="126"/>
      <c r="G90" s="128"/>
      <c r="H90" s="128"/>
      <c r="J90" s="128">
        <f t="shared" si="1"/>
        <v>210726.89896800596</v>
      </c>
      <c r="K90" s="128"/>
      <c r="L90" s="128"/>
      <c r="M90" s="130"/>
      <c r="N90" s="128"/>
      <c r="O90" s="132"/>
      <c r="P90" s="129"/>
      <c r="Q90" s="148">
        <f t="shared" si="4"/>
        <v>0</v>
      </c>
      <c r="R90" s="150"/>
      <c r="S90" s="26"/>
      <c r="T90" s="121"/>
      <c r="U90" s="121"/>
      <c r="V90" s="121"/>
      <c r="W90" s="121"/>
      <c r="X90" s="121"/>
      <c r="Y90" s="121"/>
    </row>
    <row r="91" spans="2:25" ht="14.5" customHeight="1">
      <c r="B91" s="121"/>
      <c r="C91" s="425" t="s">
        <v>96</v>
      </c>
      <c r="D91" s="426"/>
      <c r="E91" s="131">
        <f>+F38*100</f>
        <v>82.434808049810343</v>
      </c>
      <c r="F91" s="126"/>
      <c r="G91" s="128"/>
      <c r="H91" s="128"/>
      <c r="I91" s="128"/>
      <c r="J91" s="128">
        <f>F38*100</f>
        <v>82.434808049810343</v>
      </c>
      <c r="K91" s="128"/>
      <c r="L91" s="128"/>
      <c r="M91" s="130"/>
      <c r="N91" s="128"/>
      <c r="O91" s="132"/>
      <c r="P91" s="129"/>
      <c r="Q91" s="148">
        <f t="shared" si="4"/>
        <v>0</v>
      </c>
      <c r="R91" s="150"/>
      <c r="S91" s="26"/>
      <c r="T91" s="121"/>
      <c r="U91" s="121"/>
      <c r="V91" s="121"/>
      <c r="W91" s="121"/>
      <c r="X91" s="121"/>
      <c r="Y91" s="121"/>
    </row>
    <row r="92" spans="2:25" ht="14.5" customHeight="1">
      <c r="B92" s="121"/>
      <c r="C92" s="425" t="s">
        <v>97</v>
      </c>
      <c r="D92" s="426"/>
      <c r="E92" s="128">
        <f>+F31</f>
        <v>43011</v>
      </c>
      <c r="F92" s="126"/>
      <c r="G92" s="128"/>
      <c r="H92" s="128"/>
      <c r="I92" s="128"/>
      <c r="J92" s="128">
        <f t="shared" si="1"/>
        <v>43011</v>
      </c>
      <c r="K92" s="128"/>
      <c r="L92" s="128"/>
      <c r="M92" s="130"/>
      <c r="N92" s="128"/>
      <c r="O92" s="132"/>
      <c r="P92" s="129"/>
      <c r="Q92" s="148">
        <f t="shared" si="4"/>
        <v>0</v>
      </c>
      <c r="R92" s="150"/>
      <c r="S92" s="26"/>
      <c r="T92" s="121"/>
      <c r="U92" s="121"/>
      <c r="V92" s="121"/>
      <c r="W92" s="121"/>
      <c r="X92" s="121"/>
      <c r="Y92" s="121"/>
    </row>
    <row r="93" spans="2:25" ht="14.5" customHeight="1">
      <c r="B93" s="122">
        <f>+'[3]Nuevo Ingreso Dat Plantas'!C50</f>
        <v>324942</v>
      </c>
      <c r="C93" s="425" t="s">
        <v>103</v>
      </c>
      <c r="D93" s="426"/>
      <c r="E93" s="128" t="e">
        <f>+G12/(1-Flujos!#REF!)</f>
        <v>#REF!</v>
      </c>
      <c r="F93" s="126"/>
      <c r="G93" s="128" t="e">
        <f>+E89</f>
        <v>#REF!</v>
      </c>
      <c r="H93" s="133"/>
      <c r="I93" s="133"/>
      <c r="J93" s="133" t="e">
        <f>+E93+H93</f>
        <v>#REF!</v>
      </c>
      <c r="K93" s="133" t="e">
        <f t="shared" ref="K93" si="5">+G93+I93</f>
        <v>#REF!</v>
      </c>
      <c r="L93" s="128">
        <v>0</v>
      </c>
      <c r="M93" s="130" t="e">
        <f>+L93+J93-K93+F93</f>
        <v>#REF!</v>
      </c>
      <c r="N93" s="128"/>
      <c r="O93" s="132"/>
      <c r="P93" s="129">
        <f>+T94</f>
        <v>0</v>
      </c>
      <c r="Q93" s="148">
        <f t="shared" si="4"/>
        <v>0</v>
      </c>
      <c r="R93" s="150"/>
      <c r="S93" s="145"/>
      <c r="T93" s="121"/>
      <c r="U93" s="121"/>
      <c r="V93" s="121"/>
      <c r="W93" s="121"/>
      <c r="X93" s="121"/>
      <c r="Y93" s="121"/>
    </row>
    <row r="94" spans="2:25" ht="14.5" customHeight="1">
      <c r="B94" s="122">
        <f>+'[3]Nuevo Ingreso Dat Plantas'!C51</f>
        <v>66934</v>
      </c>
      <c r="C94" s="425" t="s">
        <v>104</v>
      </c>
      <c r="D94" s="426"/>
      <c r="E94" s="133" t="e">
        <f>+O9/(1-Flujos!#REF!)</f>
        <v>#REF!</v>
      </c>
      <c r="F94" s="126"/>
      <c r="G94" s="133" t="e">
        <f>+U17/(1-Flujos!#REF!)</f>
        <v>#REF!</v>
      </c>
      <c r="H94" s="133"/>
      <c r="I94" s="133"/>
      <c r="J94" s="133" t="e">
        <f>+E94+H94</f>
        <v>#REF!</v>
      </c>
      <c r="K94" s="133" t="e">
        <f t="shared" ref="K94:K95" si="6">+G94+I94</f>
        <v>#REF!</v>
      </c>
      <c r="L94" s="128">
        <v>174783</v>
      </c>
      <c r="M94" s="130" t="e">
        <f>+L94+J94-K94+F94</f>
        <v>#REF!</v>
      </c>
      <c r="N94" s="128"/>
      <c r="O94" s="132"/>
      <c r="P94" s="129">
        <v>15.38</v>
      </c>
      <c r="Q94" s="148">
        <f t="shared" si="4"/>
        <v>0</v>
      </c>
      <c r="R94" s="150"/>
      <c r="S94" s="145"/>
      <c r="T94" s="121"/>
      <c r="U94" s="121"/>
      <c r="V94" s="121"/>
      <c r="W94" s="121"/>
      <c r="X94" s="121"/>
      <c r="Y94" s="121"/>
    </row>
    <row r="95" spans="2:25" ht="14.5" customHeight="1">
      <c r="B95" s="122">
        <f>+'[3]Nuevo Ingreso Dat Plantas'!C80</f>
        <v>0</v>
      </c>
      <c r="C95" s="425" t="s">
        <v>98</v>
      </c>
      <c r="D95" s="426"/>
      <c r="E95" s="133">
        <f>+(R35+Q40+R45)/(1-0.0089)</f>
        <v>1703.8547068913329</v>
      </c>
      <c r="F95" s="126"/>
      <c r="G95" s="133" t="e">
        <f>+T39/(1-Flujos!#REF!)</f>
        <v>#REF!</v>
      </c>
      <c r="H95" s="133"/>
      <c r="I95" s="133"/>
      <c r="J95" s="133">
        <f t="shared" ref="J95" si="7">+E95+H95</f>
        <v>1703.8547068913329</v>
      </c>
      <c r="K95" s="133" t="e">
        <f t="shared" si="6"/>
        <v>#REF!</v>
      </c>
      <c r="L95" s="128">
        <v>57800</v>
      </c>
      <c r="M95" s="130" t="e">
        <f>+L95+J95-K95+F95</f>
        <v>#REF!</v>
      </c>
      <c r="N95" s="128"/>
      <c r="O95" s="132"/>
      <c r="P95" s="129">
        <v>8.5485399999999991</v>
      </c>
      <c r="Q95" s="148">
        <f t="shared" si="4"/>
        <v>0</v>
      </c>
      <c r="R95" s="150"/>
      <c r="S95" s="26"/>
      <c r="T95" s="121"/>
      <c r="U95" s="121"/>
      <c r="V95" s="121"/>
      <c r="W95" s="121"/>
      <c r="X95" s="121"/>
      <c r="Y95" s="121"/>
    </row>
    <row r="96" spans="2:25" ht="14.5" customHeight="1">
      <c r="B96" s="121"/>
      <c r="C96" s="425" t="s">
        <v>115</v>
      </c>
      <c r="D96" s="426"/>
      <c r="E96" s="128"/>
      <c r="F96" s="128"/>
      <c r="G96" s="128"/>
      <c r="H96" s="128"/>
      <c r="I96" s="128"/>
      <c r="J96" s="128"/>
      <c r="K96" s="128"/>
      <c r="L96" s="128">
        <v>27</v>
      </c>
      <c r="M96" s="130">
        <f>+L96+E96-G96+F96</f>
        <v>27</v>
      </c>
      <c r="N96" s="128">
        <v>1510</v>
      </c>
      <c r="O96" s="132">
        <f t="shared" ref="O96" si="8">+N96-M96</f>
        <v>1483</v>
      </c>
      <c r="P96" s="129">
        <v>29.163329999999998</v>
      </c>
      <c r="Q96" s="148">
        <f t="shared" ref="Q96" si="9">+O96*P96</f>
        <v>43249.218389999995</v>
      </c>
      <c r="R96" s="150"/>
      <c r="S96" s="26"/>
      <c r="T96" s="121"/>
      <c r="U96" s="121"/>
      <c r="V96" s="121"/>
      <c r="W96" s="121"/>
      <c r="X96" s="121"/>
      <c r="Y96" s="121"/>
    </row>
    <row r="97" spans="2:25" ht="14.5" customHeight="1">
      <c r="B97" s="121"/>
      <c r="C97" s="425" t="s">
        <v>113</v>
      </c>
      <c r="D97" s="426"/>
      <c r="E97" s="128"/>
      <c r="F97" s="128"/>
      <c r="G97" s="128"/>
      <c r="H97" s="128"/>
      <c r="I97" s="128"/>
      <c r="J97" s="128"/>
      <c r="K97" s="128"/>
      <c r="L97" s="128">
        <v>72341.902000000002</v>
      </c>
      <c r="M97" s="130">
        <f>+L97+E97-G97+F97</f>
        <v>72341.902000000002</v>
      </c>
      <c r="N97" s="130">
        <v>74156</v>
      </c>
      <c r="O97" s="132">
        <f t="shared" ref="O97:O98" si="10">+N97-M97</f>
        <v>1814.0979999999981</v>
      </c>
      <c r="P97" s="129">
        <v>58.779760000000003</v>
      </c>
      <c r="Q97" s="148">
        <f t="shared" si="4"/>
        <v>106632.24505647989</v>
      </c>
      <c r="R97" s="150"/>
      <c r="S97" s="26"/>
      <c r="T97" s="121"/>
      <c r="U97" s="121"/>
      <c r="V97" s="121"/>
      <c r="W97" s="121"/>
      <c r="X97" s="121"/>
      <c r="Y97" s="121"/>
    </row>
    <row r="98" spans="2:25" ht="14.5" customHeight="1">
      <c r="B98" s="121"/>
      <c r="C98" s="425" t="s">
        <v>114</v>
      </c>
      <c r="D98" s="426"/>
      <c r="E98" s="128"/>
      <c r="F98" s="128"/>
      <c r="G98" s="128"/>
      <c r="H98" s="128"/>
      <c r="I98" s="128"/>
      <c r="J98" s="128"/>
      <c r="K98" s="128"/>
      <c r="L98" s="128">
        <v>31619</v>
      </c>
      <c r="M98" s="130">
        <f>+L98+E98-G98+F98</f>
        <v>31619</v>
      </c>
      <c r="N98" s="128">
        <v>34133</v>
      </c>
      <c r="O98" s="132">
        <f t="shared" si="10"/>
        <v>2514</v>
      </c>
      <c r="P98" s="129">
        <v>41.606699999999996</v>
      </c>
      <c r="Q98" s="148">
        <f t="shared" si="4"/>
        <v>104599.2438</v>
      </c>
      <c r="R98" s="26"/>
      <c r="S98" s="26"/>
      <c r="T98" s="121"/>
      <c r="U98" s="121"/>
      <c r="V98" s="121"/>
      <c r="W98" s="121"/>
      <c r="X98" s="121"/>
      <c r="Y98" s="121"/>
    </row>
    <row r="99" spans="2:25">
      <c r="C99" s="139"/>
      <c r="D99" s="139"/>
      <c r="E99" s="134" t="e">
        <f>+E86+E87+E88+E94+E95</f>
        <v>#REF!</v>
      </c>
      <c r="F99" s="124"/>
      <c r="G99" s="134" t="e">
        <f>+G86+G87+G88+G94+G95</f>
        <v>#REF!</v>
      </c>
      <c r="H99" s="122"/>
      <c r="I99" s="122"/>
      <c r="J99" s="134" t="e">
        <f>+J86+J87+J88+J94+J95</f>
        <v>#REF!</v>
      </c>
      <c r="K99" s="134" t="e">
        <f>+K86+K87+K88+K94+K95</f>
        <v>#REF!</v>
      </c>
      <c r="L99" s="124"/>
      <c r="M99" s="124"/>
      <c r="N99" s="124"/>
      <c r="O99" s="134">
        <f>SUM(O86:O98)</f>
        <v>5811.0979999999981</v>
      </c>
      <c r="P99" s="31"/>
      <c r="Q99" s="149">
        <f>SUM(Q86:Q98)</f>
        <v>254480.70724647987</v>
      </c>
      <c r="R99" s="26"/>
      <c r="S99" s="26"/>
      <c r="T99" s="121"/>
      <c r="U99" s="121"/>
      <c r="V99" s="121"/>
      <c r="W99" s="121"/>
      <c r="X99" s="121"/>
      <c r="Y99" s="121"/>
    </row>
    <row r="100" spans="2:25" ht="14.5" customHeight="1">
      <c r="C100" s="137"/>
      <c r="D100" s="137"/>
      <c r="E100" s="122"/>
      <c r="F100" s="122"/>
      <c r="G100" s="122"/>
      <c r="H100" s="122"/>
      <c r="I100" s="122"/>
      <c r="J100" s="122"/>
      <c r="K100" s="122"/>
      <c r="O100" s="134">
        <f>SUM(O86:O98)-O93</f>
        <v>5811.0979999999981</v>
      </c>
      <c r="P100" s="31"/>
      <c r="Q100" s="149">
        <f>SUM(Q86:Q98)-Q93</f>
        <v>254480.70724647987</v>
      </c>
      <c r="R100" s="26"/>
      <c r="S100" s="26"/>
      <c r="T100" s="121"/>
      <c r="U100" s="121"/>
      <c r="V100" s="121"/>
      <c r="W100" s="121"/>
      <c r="X100" s="121"/>
      <c r="Y100" s="121"/>
    </row>
    <row r="101" spans="2:25" ht="16">
      <c r="E101" s="121"/>
      <c r="F101" s="143"/>
      <c r="G101" s="121"/>
      <c r="H101" s="121"/>
      <c r="I101" s="121"/>
      <c r="J101" s="122"/>
      <c r="K101" s="145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</row>
    <row r="102" spans="2:25" ht="14.5" customHeight="1"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</row>
    <row r="103" spans="2:25" ht="14.5" customHeight="1">
      <c r="E103" s="145"/>
      <c r="F103" s="145"/>
      <c r="G103" s="145">
        <f>IF(T48&gt;0,T48/(1-Flujos!#REF!),0)</f>
        <v>0</v>
      </c>
      <c r="H103" s="145"/>
      <c r="I103" s="145"/>
      <c r="J103" s="145"/>
      <c r="K103" s="145"/>
      <c r="L103" s="145"/>
      <c r="M103" s="145"/>
      <c r="N103" s="145"/>
      <c r="O103" s="121"/>
      <c r="P103" s="121"/>
      <c r="Q103" s="121"/>
      <c r="R103" s="421"/>
      <c r="S103" s="421"/>
      <c r="T103" s="7"/>
      <c r="U103" s="7"/>
      <c r="V103" s="7"/>
    </row>
    <row r="104" spans="2:25" ht="15.75" customHeight="1">
      <c r="E104" s="151"/>
      <c r="F104" s="145"/>
      <c r="G104" s="145"/>
      <c r="H104" s="145"/>
      <c r="I104" s="145"/>
      <c r="J104" s="145"/>
      <c r="K104" s="145"/>
      <c r="L104" s="145"/>
      <c r="M104" s="145"/>
      <c r="N104" s="145"/>
      <c r="O104" s="121"/>
      <c r="P104" s="421"/>
      <c r="Q104" s="421"/>
      <c r="R104" s="7"/>
      <c r="S104" s="7"/>
      <c r="T104" s="7"/>
    </row>
    <row r="105" spans="2:25">
      <c r="E105" s="121"/>
      <c r="F105" s="121"/>
      <c r="G105" s="121"/>
      <c r="H105" s="121"/>
      <c r="I105" s="121"/>
      <c r="J105" s="121"/>
      <c r="K105" s="121"/>
      <c r="L105" s="121"/>
      <c r="M105" s="121"/>
      <c r="N105" s="122"/>
      <c r="O105" s="121"/>
      <c r="P105" s="421"/>
      <c r="Q105" s="421"/>
      <c r="R105" s="7"/>
      <c r="S105" s="7"/>
      <c r="T105" s="7"/>
    </row>
    <row r="106" spans="2:25" ht="14.5" customHeight="1">
      <c r="E106" s="121"/>
      <c r="F106" s="121"/>
      <c r="G106" s="121"/>
      <c r="H106" s="121"/>
      <c r="I106" s="121"/>
      <c r="J106" s="121"/>
      <c r="K106" s="121"/>
      <c r="L106" s="121"/>
      <c r="M106" s="121"/>
      <c r="N106" s="122"/>
      <c r="O106" s="121"/>
      <c r="P106" s="421"/>
      <c r="Q106" s="421"/>
      <c r="R106" s="7"/>
      <c r="S106" s="7"/>
      <c r="T106" s="7"/>
    </row>
    <row r="107" spans="2:25" ht="14.5" customHeight="1">
      <c r="E107" s="121"/>
      <c r="F107" s="143"/>
      <c r="G107" s="121"/>
      <c r="H107" s="121"/>
      <c r="I107" s="121"/>
      <c r="J107" s="145"/>
      <c r="K107" s="121"/>
      <c r="L107" s="121"/>
      <c r="M107" s="121"/>
      <c r="N107" s="122"/>
      <c r="O107" s="121"/>
      <c r="P107" s="421"/>
      <c r="Q107" s="421"/>
      <c r="R107" s="7"/>
      <c r="S107" s="7"/>
      <c r="T107" s="7"/>
    </row>
    <row r="108" spans="2:25" ht="14.5" customHeight="1">
      <c r="E108" s="121"/>
      <c r="F108" s="143"/>
      <c r="G108" s="121"/>
      <c r="H108" s="121"/>
      <c r="I108" s="121"/>
      <c r="J108" s="145"/>
      <c r="K108" s="121"/>
      <c r="L108" s="121"/>
      <c r="M108" s="121"/>
      <c r="N108" s="122"/>
      <c r="O108" s="121"/>
      <c r="P108" s="421"/>
      <c r="Q108" s="421"/>
      <c r="R108" s="7"/>
      <c r="S108" s="7"/>
      <c r="T108" s="7"/>
    </row>
    <row r="109" spans="2:25" ht="14.5" customHeight="1">
      <c r="E109" s="121"/>
      <c r="F109" s="143"/>
      <c r="G109" s="121"/>
      <c r="H109" s="121"/>
      <c r="I109" s="121"/>
      <c r="J109" s="121"/>
      <c r="K109" s="121"/>
      <c r="L109" s="121"/>
      <c r="M109" s="121"/>
      <c r="N109" s="121"/>
      <c r="O109" s="121"/>
      <c r="P109" s="421"/>
      <c r="Q109" s="421"/>
      <c r="R109" s="7"/>
      <c r="S109" s="7"/>
    </row>
    <row r="110" spans="2:25" ht="14.5" customHeight="1">
      <c r="E110" s="121"/>
      <c r="F110" s="143"/>
      <c r="G110" s="121"/>
      <c r="H110" s="121"/>
      <c r="I110" s="121"/>
      <c r="J110" s="121"/>
      <c r="K110" s="121"/>
      <c r="L110" s="121"/>
      <c r="M110" s="121"/>
      <c r="N110" s="121"/>
      <c r="O110" s="121"/>
      <c r="P110" s="421"/>
      <c r="Q110" s="421"/>
      <c r="R110" s="7"/>
      <c r="S110" s="7"/>
    </row>
    <row r="111" spans="2:25" ht="14.5" customHeight="1">
      <c r="E111" s="121"/>
      <c r="F111" s="143"/>
      <c r="G111" s="121"/>
      <c r="H111" s="121"/>
      <c r="I111" s="121"/>
      <c r="J111" s="121"/>
      <c r="K111" s="121"/>
      <c r="L111" s="121"/>
      <c r="M111" s="121"/>
      <c r="N111" s="121"/>
      <c r="O111" s="121"/>
      <c r="P111" s="421"/>
      <c r="Q111" s="421"/>
      <c r="R111" s="7"/>
      <c r="S111" s="7"/>
    </row>
    <row r="112" spans="2:25" ht="14.5" customHeight="1">
      <c r="E112" s="121"/>
      <c r="F112" s="143"/>
      <c r="G112" s="121"/>
      <c r="H112" s="121"/>
      <c r="I112" s="121"/>
      <c r="J112" s="121"/>
      <c r="K112" s="121"/>
      <c r="L112" s="121"/>
      <c r="M112" s="121"/>
      <c r="N112" s="121"/>
      <c r="O112" s="121"/>
      <c r="P112" s="421"/>
      <c r="Q112" s="421"/>
      <c r="R112" s="7"/>
      <c r="S112" s="7"/>
    </row>
    <row r="113" spans="5:18" ht="14.5" customHeight="1">
      <c r="E113" s="121"/>
      <c r="F113" s="143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7"/>
    </row>
    <row r="114" spans="5:18" ht="14.5" customHeight="1">
      <c r="E114" s="121"/>
      <c r="F114" s="143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7"/>
    </row>
    <row r="115" spans="5:18" ht="14.5" customHeight="1">
      <c r="E115" s="121"/>
      <c r="F115" s="143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7"/>
    </row>
    <row r="116" spans="5:18" ht="14.5" customHeight="1">
      <c r="E116" s="121"/>
      <c r="F116" s="143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7"/>
    </row>
    <row r="117" spans="5:18" ht="14.5" customHeight="1">
      <c r="E117" s="121"/>
      <c r="F117" s="143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7"/>
    </row>
    <row r="118" spans="5:18" ht="14.5" customHeight="1">
      <c r="E118" s="121"/>
      <c r="F118" s="143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7"/>
    </row>
    <row r="119" spans="5:18" ht="16">
      <c r="E119" s="121"/>
      <c r="F119" s="143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</row>
    <row r="120" spans="5:18" ht="16">
      <c r="E120" s="121"/>
      <c r="F120" s="143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</row>
    <row r="121" spans="5:18" ht="16">
      <c r="E121" s="121"/>
      <c r="F121" s="143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</row>
    <row r="122" spans="5:18" ht="16">
      <c r="F122" s="143"/>
      <c r="G122" s="121"/>
      <c r="H122" s="121"/>
      <c r="I122" s="121"/>
      <c r="J122" s="121"/>
      <c r="K122" s="121"/>
      <c r="L122" s="121"/>
      <c r="M122" s="121"/>
      <c r="N122" s="121"/>
      <c r="P122" s="121"/>
      <c r="Q122" s="121"/>
    </row>
    <row r="123" spans="5:18" ht="16">
      <c r="F123" s="143"/>
      <c r="G123" s="121"/>
      <c r="H123" s="121"/>
      <c r="I123" s="121"/>
      <c r="J123" s="121"/>
      <c r="K123" s="121"/>
      <c r="L123" s="121"/>
      <c r="M123" s="121"/>
      <c r="N123" s="121"/>
      <c r="P123" s="121"/>
      <c r="Q123" s="121"/>
    </row>
  </sheetData>
  <mergeCells count="25">
    <mergeCell ref="C95:D95"/>
    <mergeCell ref="C96:D96"/>
    <mergeCell ref="C97:D97"/>
    <mergeCell ref="C98:D98"/>
    <mergeCell ref="C90:D90"/>
    <mergeCell ref="C91:D91"/>
    <mergeCell ref="C92:D92"/>
    <mergeCell ref="C93:D93"/>
    <mergeCell ref="C94:D94"/>
    <mergeCell ref="C85:D85"/>
    <mergeCell ref="C86:D86"/>
    <mergeCell ref="C87:D87"/>
    <mergeCell ref="C88:D88"/>
    <mergeCell ref="C89:D89"/>
    <mergeCell ref="R103:S103"/>
    <mergeCell ref="P104:Q104"/>
    <mergeCell ref="P105:Q105"/>
    <mergeCell ref="H84:J84"/>
    <mergeCell ref="P106:Q106"/>
    <mergeCell ref="P112:Q112"/>
    <mergeCell ref="P107:Q107"/>
    <mergeCell ref="P108:Q108"/>
    <mergeCell ref="P109:Q109"/>
    <mergeCell ref="P110:Q110"/>
    <mergeCell ref="P111:Q111"/>
  </mergeCells>
  <pageMargins left="0.7" right="0.7" top="0.75" bottom="0.75" header="0.3" footer="0.3"/>
  <pageSetup paperSize="9" scale="23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3910B362-0047-469B-B8F9-3F54617F03E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I16</xm:sqref>
        </x14:conditionalFormatting>
        <x14:conditionalFormatting xmlns:xm="http://schemas.microsoft.com/office/excel/2006/main">
          <x14:cfRule type="iconSet" priority="14" id="{3B0DF9C3-DAE1-4859-8688-BC6498AD5BD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I26</xm:sqref>
        </x14:conditionalFormatting>
        <x14:conditionalFormatting xmlns:xm="http://schemas.microsoft.com/office/excel/2006/main">
          <x14:cfRule type="iconSet" priority="13" id="{3DBECC9C-F324-4C5B-A67B-7536686DCC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H46</xm:sqref>
        </x14:conditionalFormatting>
        <x14:conditionalFormatting xmlns:xm="http://schemas.microsoft.com/office/excel/2006/main">
          <x14:cfRule type="iconSet" priority="12" id="{7C43085A-E622-4AE0-B4B7-7E841AAA63F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M38</xm:sqref>
        </x14:conditionalFormatting>
        <x14:conditionalFormatting xmlns:xm="http://schemas.microsoft.com/office/excel/2006/main">
          <x14:cfRule type="iconSet" priority="11" id="{5421E219-8591-4EC3-A982-D72AD20E078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O76</xm:sqref>
        </x14:conditionalFormatting>
        <x14:conditionalFormatting xmlns:xm="http://schemas.microsoft.com/office/excel/2006/main">
          <x14:cfRule type="iconSet" priority="10" id="{6D1D1BE7-5272-4A3D-A7CF-D31DAB31E30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M46</xm:sqref>
        </x14:conditionalFormatting>
        <x14:conditionalFormatting xmlns:xm="http://schemas.microsoft.com/office/excel/2006/main">
          <x14:cfRule type="iconSet" priority="9" id="{03724AB5-DC08-405A-8127-461B2262AFE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O56</xm:sqref>
        </x14:conditionalFormatting>
        <x14:conditionalFormatting xmlns:xm="http://schemas.microsoft.com/office/excel/2006/main">
          <x14:cfRule type="iconSet" priority="8" id="{FB50008A-39CB-4C30-9921-98AE627437E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S57</xm:sqref>
        </x14:conditionalFormatting>
        <x14:conditionalFormatting xmlns:xm="http://schemas.microsoft.com/office/excel/2006/main">
          <x14:cfRule type="iconSet" priority="7" id="{D98A5BBB-18C5-4851-98F2-2D1B97F654A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D57</xm:sqref>
        </x14:conditionalFormatting>
        <x14:conditionalFormatting xmlns:xm="http://schemas.microsoft.com/office/excel/2006/main">
          <x14:cfRule type="iconSet" priority="6" id="{F0C659B5-DF58-4A00-A426-F5471C98366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D46</xm:sqref>
        </x14:conditionalFormatting>
        <x14:conditionalFormatting xmlns:xm="http://schemas.microsoft.com/office/excel/2006/main">
          <x14:cfRule type="iconSet" priority="5" id="{C1EA5921-D72C-4834-A430-03CBBBC3EB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S65</xm:sqref>
        </x14:conditionalFormatting>
        <x14:conditionalFormatting xmlns:xm="http://schemas.microsoft.com/office/excel/2006/main">
          <x14:cfRule type="iconSet" priority="4" id="{D5DAFD0C-5EF3-4940-8A45-4254B3230CC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R18</xm:sqref>
        </x14:conditionalFormatting>
        <x14:conditionalFormatting xmlns:xm="http://schemas.microsoft.com/office/excel/2006/main">
          <x14:cfRule type="iconSet" priority="3" id="{4D222C1F-93C2-4D86-B4E1-08E3381BF40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S40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0ABD05418EF4DAA93CCDBBEF197DD" ma:contentTypeVersion="14" ma:contentTypeDescription="Crear nuevo documento." ma:contentTypeScope="" ma:versionID="3320dfffac8583006496cab270371246">
  <xsd:schema xmlns:xsd="http://www.w3.org/2001/XMLSchema" xmlns:xs="http://www.w3.org/2001/XMLSchema" xmlns:p="http://schemas.microsoft.com/office/2006/metadata/properties" xmlns:ns3="672beb28-d033-44e4-85ef-88c950d30d67" xmlns:ns4="6a434a16-733e-45f0-bb0f-4001a7e4b84d" targetNamespace="http://schemas.microsoft.com/office/2006/metadata/properties" ma:root="true" ma:fieldsID="30a3b1a335b3695b96057fd84d433b9a" ns3:_="" ns4:_="">
    <xsd:import namespace="672beb28-d033-44e4-85ef-88c950d30d67"/>
    <xsd:import namespace="6a434a16-733e-45f0-bb0f-4001a7e4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eb28-d033-44e4-85ef-88c950d30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4a16-733e-45f0-bb0f-4001a7e4b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F7F1E4-5828-427C-BC75-2519BCE81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eb28-d033-44e4-85ef-88c950d30d67"/>
    <ds:schemaRef ds:uri="6a434a16-733e-45f0-bb0f-4001a7e4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9F5FE-7652-48A9-A672-DDB3F360B27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6a434a16-733e-45f0-bb0f-4001a7e4b84d"/>
    <ds:schemaRef ds:uri="http://purl.org/dc/elements/1.1/"/>
    <ds:schemaRef ds:uri="672beb28-d033-44e4-85ef-88c950d30d67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Nodos Variac Inventarios</vt:lpstr>
      <vt:lpstr>Bal Los Colorados</vt:lpstr>
      <vt:lpstr>Diag Proc Los Colorados</vt:lpstr>
      <vt:lpstr>Resumen Planta Pellets (2)</vt:lpstr>
      <vt:lpstr>Datos Extra</vt:lpstr>
      <vt:lpstr>Resumen Planta Pellets</vt:lpstr>
      <vt:lpstr>Utilidad</vt:lpstr>
      <vt:lpstr>Flujos</vt:lpstr>
      <vt:lpstr>Diagrama</vt:lpstr>
      <vt:lpstr>'Resumen Planta Pellets'!ECL_DelBal_por</vt:lpstr>
      <vt:lpstr>'Resumen Planta Pellets (2)'!ECL_DelBal_por</vt:lpstr>
      <vt:lpstr>'Resumen Planta Pellets'!ECL_DelBal_tmf</vt:lpstr>
      <vt:lpstr>'Resumen Planta Pellets (2)'!ECL_DelBal_tmf</vt:lpstr>
      <vt:lpstr>'Resumen Planta Pellets'!Print_Area</vt:lpstr>
      <vt:lpstr>'Resumen Planta Pellets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2022-05-21T05:10:28Z</cp:lastPrinted>
  <dcterms:created xsi:type="dcterms:W3CDTF">2021-07-26T15:39:49Z</dcterms:created>
  <dcterms:modified xsi:type="dcterms:W3CDTF">2022-11-30T17:20:48Z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