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13_ncr:1_{8E04D3B6-8B56-6D43-9691-93A1BEBDCE8C}" xr6:coauthVersionLast="47" xr6:coauthVersionMax="47" xr10:uidLastSave="{00000000-0000-0000-0000-000000000000}"/>
  <bookViews>
    <workbookView xWindow="0" yWindow="700" windowWidth="27040" windowHeight="16860" activeTab="3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O57" i="9" l="1"/>
  <c r="D36" i="9"/>
  <c r="F15" i="9"/>
  <c r="I5" i="9"/>
  <c r="V39" i="9" l="1"/>
  <c r="V38" i="9"/>
  <c r="V37" i="9"/>
  <c r="R34" i="7"/>
  <c r="R35" i="7"/>
  <c r="J34" i="7"/>
  <c r="K34" i="7"/>
  <c r="M34" i="7"/>
  <c r="N34" i="7"/>
  <c r="J35" i="7"/>
  <c r="K35" i="7"/>
  <c r="M35" i="7"/>
  <c r="N35" i="7"/>
  <c r="C34" i="7"/>
  <c r="D34" i="7"/>
  <c r="G34" i="7"/>
  <c r="H34" i="7"/>
  <c r="C35" i="7"/>
  <c r="D35" i="7"/>
  <c r="G35" i="7"/>
  <c r="H35" i="7"/>
  <c r="M77" i="9" l="1"/>
  <c r="G15" i="9"/>
  <c r="P57" i="9"/>
  <c r="J5" i="9"/>
  <c r="C33" i="7"/>
  <c r="D33" i="7"/>
  <c r="G33" i="7"/>
  <c r="J33" i="7" s="1"/>
  <c r="H33" i="7"/>
  <c r="K33" i="7"/>
  <c r="R33" i="7"/>
  <c r="M33" i="7" l="1"/>
  <c r="N33" i="7"/>
  <c r="G34" i="9" l="1"/>
  <c r="E36" i="9"/>
  <c r="K36" i="10" l="1"/>
  <c r="D36" i="10"/>
  <c r="I20" i="10"/>
  <c r="H20" i="10"/>
  <c r="I19" i="10"/>
  <c r="H19" i="10"/>
  <c r="I18" i="10"/>
  <c r="I17" i="10"/>
  <c r="P16" i="10"/>
  <c r="I16" i="10"/>
  <c r="P13" i="10"/>
  <c r="P12" i="10"/>
  <c r="O12" i="10"/>
  <c r="P11" i="10"/>
  <c r="O11" i="10"/>
  <c r="P10" i="10"/>
  <c r="Q10" i="10" s="1"/>
  <c r="O10" i="10"/>
  <c r="I10" i="10"/>
  <c r="P17" i="10"/>
  <c r="Q11" i="10"/>
  <c r="J11" i="10"/>
  <c r="C32" i="7"/>
  <c r="D32" i="7"/>
  <c r="G32" i="7"/>
  <c r="J32" i="7" s="1"/>
  <c r="H32" i="7"/>
  <c r="K32" i="7"/>
  <c r="R32" i="7"/>
  <c r="R31" i="7"/>
  <c r="M31" i="7"/>
  <c r="N31" i="7"/>
  <c r="J31" i="7"/>
  <c r="K31" i="7"/>
  <c r="G31" i="7"/>
  <c r="H31" i="7"/>
  <c r="C31" i="7"/>
  <c r="D31" i="7"/>
  <c r="AE7" i="9"/>
  <c r="AD7" i="9" s="1"/>
  <c r="AE8" i="9"/>
  <c r="AD8" i="9" s="1"/>
  <c r="AE9" i="9"/>
  <c r="AD9" i="9" s="1"/>
  <c r="AE10" i="9"/>
  <c r="AE11" i="9"/>
  <c r="AD11" i="9" s="1"/>
  <c r="AE12" i="9"/>
  <c r="AD12" i="9" s="1"/>
  <c r="AE13" i="9"/>
  <c r="AD13" i="9" s="1"/>
  <c r="AE14" i="9"/>
  <c r="AD14" i="9" s="1"/>
  <c r="AE15" i="9"/>
  <c r="AD15" i="9" s="1"/>
  <c r="AE16" i="9"/>
  <c r="AD16" i="9" s="1"/>
  <c r="AE17" i="9"/>
  <c r="AD17" i="9" s="1"/>
  <c r="AE18" i="9"/>
  <c r="AD18" i="9" s="1"/>
  <c r="AE19" i="9"/>
  <c r="AD19" i="9" s="1"/>
  <c r="AE20" i="9"/>
  <c r="AD20" i="9" s="1"/>
  <c r="AE21" i="9"/>
  <c r="AE22" i="9"/>
  <c r="AE23" i="9"/>
  <c r="AE24" i="9"/>
  <c r="AD24" i="9" s="1"/>
  <c r="AE25" i="9"/>
  <c r="AD25" i="9" s="1"/>
  <c r="AE26" i="9"/>
  <c r="AD26" i="9" s="1"/>
  <c r="AE27" i="9"/>
  <c r="AD27" i="9" s="1"/>
  <c r="AE28" i="9"/>
  <c r="AD28" i="9" s="1"/>
  <c r="AE6" i="9"/>
  <c r="AD6" i="9" s="1"/>
  <c r="AD10" i="9"/>
  <c r="AD21" i="9"/>
  <c r="AD22" i="9"/>
  <c r="AD23" i="9"/>
  <c r="M76" i="9"/>
  <c r="K80" i="9"/>
  <c r="K79" i="9"/>
  <c r="K78" i="9"/>
  <c r="K77" i="9"/>
  <c r="K76" i="9"/>
  <c r="K74" i="9"/>
  <c r="K73" i="9"/>
  <c r="K72" i="9"/>
  <c r="M72" i="9"/>
  <c r="M71" i="9"/>
  <c r="M70" i="9"/>
  <c r="Q12" i="10" l="1"/>
  <c r="J19" i="10"/>
  <c r="J20" i="10"/>
  <c r="I14" i="10"/>
  <c r="M32" i="7"/>
  <c r="N32" i="7"/>
  <c r="K71" i="9"/>
  <c r="K70" i="9"/>
  <c r="C4" i="9"/>
  <c r="P4" i="10" s="1"/>
  <c r="G94" i="9"/>
  <c r="G95" i="9"/>
  <c r="G96" i="9"/>
  <c r="G93" i="9"/>
  <c r="E87" i="9"/>
  <c r="F87" i="9"/>
  <c r="G87" i="9"/>
  <c r="E88" i="9"/>
  <c r="F88" i="9"/>
  <c r="G88" i="9"/>
  <c r="E89" i="9"/>
  <c r="F89" i="9"/>
  <c r="G89" i="9"/>
  <c r="E90" i="9"/>
  <c r="F90" i="9"/>
  <c r="G90" i="9"/>
  <c r="F86" i="9"/>
  <c r="G86" i="9"/>
  <c r="E86" i="9"/>
  <c r="AE41" i="9"/>
  <c r="E93" i="9"/>
  <c r="AE35" i="9"/>
  <c r="AI6" i="9"/>
  <c r="AF28" i="9"/>
  <c r="AG28" i="9"/>
  <c r="AF27" i="9"/>
  <c r="AG27" i="9"/>
  <c r="AF24" i="9"/>
  <c r="AG24" i="9"/>
  <c r="AF25" i="9"/>
  <c r="AG25" i="9"/>
  <c r="AF26" i="9"/>
  <c r="AG26" i="9"/>
  <c r="AF23" i="9"/>
  <c r="AG23" i="9"/>
  <c r="AF21" i="9"/>
  <c r="AG21" i="9"/>
  <c r="AF22" i="9"/>
  <c r="AG22" i="9"/>
  <c r="AF19" i="9"/>
  <c r="AG19" i="9"/>
  <c r="AF20" i="9"/>
  <c r="AG20" i="9"/>
  <c r="AF17" i="9"/>
  <c r="AG17" i="9"/>
  <c r="AF18" i="9"/>
  <c r="AG18" i="9"/>
  <c r="AG16" i="9"/>
  <c r="AF16" i="9"/>
  <c r="AG7" i="9"/>
  <c r="AG8" i="9"/>
  <c r="AG9" i="9"/>
  <c r="AG10" i="9"/>
  <c r="AG11" i="9"/>
  <c r="AG12" i="9"/>
  <c r="AG13" i="9"/>
  <c r="AG14" i="9"/>
  <c r="AG15" i="9"/>
  <c r="AG6" i="9"/>
  <c r="AF7" i="9"/>
  <c r="AF8" i="9"/>
  <c r="AF9" i="9"/>
  <c r="AF10" i="9"/>
  <c r="AF11" i="9"/>
  <c r="AF12" i="9"/>
  <c r="AF13" i="9"/>
  <c r="AF14" i="9"/>
  <c r="AF15" i="9"/>
  <c r="AF6" i="9"/>
  <c r="B12" i="6"/>
  <c r="A12" i="6"/>
  <c r="AD35" i="9" l="1"/>
  <c r="E94" i="9"/>
  <c r="AD41" i="9"/>
  <c r="H90" i="9" l="1"/>
  <c r="H89" i="9"/>
  <c r="H88" i="9"/>
  <c r="H86" i="9"/>
  <c r="L80" i="9"/>
  <c r="N80" i="9" s="1"/>
  <c r="P80" i="9" s="1"/>
  <c r="J80" i="9"/>
  <c r="I80" i="9"/>
  <c r="L79" i="9"/>
  <c r="N79" i="9" s="1"/>
  <c r="P79" i="9" s="1"/>
  <c r="J79" i="9"/>
  <c r="I79" i="9"/>
  <c r="L78" i="9"/>
  <c r="N78" i="9" s="1"/>
  <c r="P78" i="9" s="1"/>
  <c r="J78" i="9"/>
  <c r="I78" i="9"/>
  <c r="B77" i="9"/>
  <c r="H76" i="9"/>
  <c r="J71" i="9"/>
  <c r="B71" i="9"/>
  <c r="AQ55" i="9"/>
  <c r="AP55" i="9"/>
  <c r="AN55" i="9"/>
  <c r="AM55" i="9"/>
  <c r="AN50" i="9"/>
  <c r="AM50" i="9"/>
  <c r="AH50" i="9"/>
  <c r="AE50" i="9"/>
  <c r="AE49" i="9"/>
  <c r="AF49" i="9" s="1"/>
  <c r="R37" i="9"/>
  <c r="G46" i="9"/>
  <c r="E48" i="9" s="1"/>
  <c r="AN45" i="9"/>
  <c r="AM45" i="9"/>
  <c r="AF45" i="9"/>
  <c r="W27" i="9" s="1"/>
  <c r="AF44" i="9"/>
  <c r="W28" i="9" s="1"/>
  <c r="AF42" i="9"/>
  <c r="X13" i="9" s="1"/>
  <c r="W20" i="9" s="1"/>
  <c r="F41" i="9"/>
  <c r="AN40" i="9"/>
  <c r="AM40" i="9"/>
  <c r="AF40" i="9"/>
  <c r="U27" i="9" s="1"/>
  <c r="AF39" i="9"/>
  <c r="AF38" i="9"/>
  <c r="S52" i="9" s="1"/>
  <c r="AL36" i="9"/>
  <c r="AG36" i="9"/>
  <c r="AF36" i="9"/>
  <c r="AG35" i="9"/>
  <c r="AF35" i="9"/>
  <c r="U8" i="9" s="1"/>
  <c r="AF34" i="9"/>
  <c r="I34" i="9"/>
  <c r="J37" i="9" s="1"/>
  <c r="AF33" i="9"/>
  <c r="AF32" i="9"/>
  <c r="AL31" i="9"/>
  <c r="AF31" i="9"/>
  <c r="S15" i="9" s="1"/>
  <c r="T18" i="9" s="1"/>
  <c r="AF30" i="9"/>
  <c r="R8" i="9" s="1"/>
  <c r="J29" i="9"/>
  <c r="J31" i="9" s="1"/>
  <c r="M53" i="9"/>
  <c r="F28" i="9"/>
  <c r="P50" i="9"/>
  <c r="B70" i="9"/>
  <c r="AL25" i="9"/>
  <c r="AP24" i="9"/>
  <c r="G21" i="9"/>
  <c r="AL20" i="9"/>
  <c r="AL21" i="9" s="1"/>
  <c r="AQ19" i="9"/>
  <c r="C42" i="9"/>
  <c r="AI19" i="9"/>
  <c r="F72" i="9" s="1"/>
  <c r="J72" i="9" s="1"/>
  <c r="G17" i="10" s="1"/>
  <c r="H17" i="10" s="1"/>
  <c r="J17" i="10" s="1"/>
  <c r="J40" i="9"/>
  <c r="AI17" i="9"/>
  <c r="AH16" i="9"/>
  <c r="B72" i="9"/>
  <c r="AI13" i="9"/>
  <c r="E75" i="9" s="1"/>
  <c r="J75" i="9" s="1"/>
  <c r="O16" i="10" s="1"/>
  <c r="V13" i="9"/>
  <c r="V21" i="9" s="1"/>
  <c r="AH10" i="9"/>
  <c r="N10" i="9"/>
  <c r="M10" i="9"/>
  <c r="H10" i="9"/>
  <c r="N5" i="9"/>
  <c r="H4" i="9"/>
  <c r="H5" i="9"/>
  <c r="AX3" i="9"/>
  <c r="AW3" i="9"/>
  <c r="AV3" i="9"/>
  <c r="AU3" i="9"/>
  <c r="N16" i="10" l="1"/>
  <c r="N17" i="10" s="1"/>
  <c r="O17" i="10"/>
  <c r="Q17" i="10" s="1"/>
  <c r="Q16" i="10"/>
  <c r="AL26" i="9"/>
  <c r="T52" i="9"/>
  <c r="AF41" i="9"/>
  <c r="AG50" i="9" s="1"/>
  <c r="G35" i="9"/>
  <c r="AP45" i="9"/>
  <c r="AP50" i="9"/>
  <c r="AO40" i="9"/>
  <c r="AO50" i="9"/>
  <c r="L22" i="9" s="1"/>
  <c r="G91" i="9"/>
  <c r="AQ45" i="9"/>
  <c r="AM58" i="9"/>
  <c r="AN58" i="9"/>
  <c r="G97" i="9"/>
  <c r="AO45" i="9"/>
  <c r="AP40" i="9"/>
  <c r="AQ40" i="9"/>
  <c r="AQ50" i="9"/>
  <c r="AP25" i="9"/>
  <c r="X20" i="9"/>
  <c r="H87" i="9"/>
  <c r="H91" i="9" s="1"/>
  <c r="H6" i="9"/>
  <c r="N4" i="9"/>
  <c r="N6" i="9" s="1"/>
  <c r="AI8" i="9"/>
  <c r="F77" i="9" s="1"/>
  <c r="J77" i="9" s="1"/>
  <c r="G16" i="10" s="1"/>
  <c r="M52" i="9"/>
  <c r="M54" i="9" s="1"/>
  <c r="AI28" i="9"/>
  <c r="F70" i="9" s="1"/>
  <c r="R36" i="9"/>
  <c r="R38" i="9" s="1"/>
  <c r="AI25" i="9"/>
  <c r="E71" i="9" s="1"/>
  <c r="I71" i="9" s="1"/>
  <c r="AI20" i="9"/>
  <c r="K35" i="9"/>
  <c r="C41" i="9"/>
  <c r="C43" i="9" s="1"/>
  <c r="AI22" i="9"/>
  <c r="AI34" i="9"/>
  <c r="S27" i="9"/>
  <c r="AI7" i="9"/>
  <c r="E77" i="9" s="1"/>
  <c r="I77" i="9" s="1"/>
  <c r="F27" i="9"/>
  <c r="R44" i="9"/>
  <c r="AF50" i="9"/>
  <c r="X3" i="9"/>
  <c r="L10" i="9"/>
  <c r="R52" i="9"/>
  <c r="S28" i="9"/>
  <c r="AG41" i="9"/>
  <c r="AG42" i="9" s="1"/>
  <c r="G45" i="9"/>
  <c r="AI10" i="9"/>
  <c r="E73" i="9" s="1"/>
  <c r="G20" i="9"/>
  <c r="G22" i="9" s="1"/>
  <c r="H93" i="9"/>
  <c r="AO55" i="9"/>
  <c r="L71" i="9" l="1"/>
  <c r="N71" i="9" s="1"/>
  <c r="P71" i="9" s="1"/>
  <c r="N12" i="10"/>
  <c r="H16" i="10"/>
  <c r="O13" i="10"/>
  <c r="N13" i="10"/>
  <c r="S73" i="9"/>
  <c r="X4" i="9"/>
  <c r="R43" i="9"/>
  <c r="R45" i="9" s="1"/>
  <c r="W8" i="9"/>
  <c r="B73" i="9"/>
  <c r="I22" i="9"/>
  <c r="I23" i="9" s="1"/>
  <c r="I27" i="9" s="1"/>
  <c r="M19" i="9" s="1"/>
  <c r="AO58" i="9"/>
  <c r="J6" i="9"/>
  <c r="AQ17" i="9"/>
  <c r="E37" i="9"/>
  <c r="AI27" i="9"/>
  <c r="AI11" i="9"/>
  <c r="L77" i="9"/>
  <c r="N77" i="9" s="1"/>
  <c r="P77" i="9" s="1"/>
  <c r="F81" i="9"/>
  <c r="J70" i="9"/>
  <c r="F8" i="9"/>
  <c r="B76" i="9"/>
  <c r="Z6" i="9"/>
  <c r="F29" i="9"/>
  <c r="J76" i="9"/>
  <c r="G10" i="10" s="1"/>
  <c r="J73" i="9"/>
  <c r="E95" i="9"/>
  <c r="P49" i="9"/>
  <c r="AI26" i="9"/>
  <c r="E70" i="9" s="1"/>
  <c r="G47" i="9"/>
  <c r="E47" i="9"/>
  <c r="E49" i="9" s="1"/>
  <c r="F40" i="9"/>
  <c r="AI16" i="9"/>
  <c r="E72" i="9" s="1"/>
  <c r="H10" i="10" l="1"/>
  <c r="G14" i="10"/>
  <c r="O14" i="10"/>
  <c r="Q13" i="10"/>
  <c r="Q14" i="10" s="1"/>
  <c r="P14" i="10" s="1"/>
  <c r="J16" i="10"/>
  <c r="J81" i="9"/>
  <c r="J82" i="9" s="1"/>
  <c r="G18" i="10"/>
  <c r="I72" i="9"/>
  <c r="I70" i="9"/>
  <c r="E81" i="9"/>
  <c r="AI24" i="9"/>
  <c r="P41" i="9"/>
  <c r="M45" i="9" s="1"/>
  <c r="P51" i="9"/>
  <c r="P43" i="9"/>
  <c r="M46" i="9" s="1"/>
  <c r="Z15" i="9"/>
  <c r="F42" i="9"/>
  <c r="H42" i="9" s="1"/>
  <c r="H40" i="9"/>
  <c r="O35" i="9"/>
  <c r="E96" i="9"/>
  <c r="H96" i="9" s="1"/>
  <c r="H95" i="9"/>
  <c r="AI23" i="9"/>
  <c r="AI12" i="9"/>
  <c r="I25" i="9"/>
  <c r="L72" i="9" l="1"/>
  <c r="N10" i="10"/>
  <c r="H18" i="10"/>
  <c r="G21" i="10"/>
  <c r="L70" i="9"/>
  <c r="N70" i="9" s="1"/>
  <c r="N11" i="10"/>
  <c r="H14" i="10"/>
  <c r="J10" i="10"/>
  <c r="J14" i="10" s="1"/>
  <c r="L19" i="9"/>
  <c r="K29" i="9"/>
  <c r="I26" i="9"/>
  <c r="M39" i="9"/>
  <c r="AI21" i="9"/>
  <c r="M40" i="9"/>
  <c r="P58" i="9"/>
  <c r="P21" i="9"/>
  <c r="L20" i="9"/>
  <c r="L21" i="9" s="1"/>
  <c r="L23" i="9" s="1"/>
  <c r="H41" i="9"/>
  <c r="AI14" i="9"/>
  <c r="M20" i="9"/>
  <c r="M21" i="9" s="1"/>
  <c r="F7" i="9"/>
  <c r="F9" i="9" s="1"/>
  <c r="P19" i="9"/>
  <c r="F95" i="9" s="1"/>
  <c r="I81" i="9"/>
  <c r="J18" i="10" l="1"/>
  <c r="J21" i="10" s="1"/>
  <c r="H21" i="10"/>
  <c r="I21" i="10" s="1"/>
  <c r="N14" i="10"/>
  <c r="N72" i="9"/>
  <c r="P72" i="9" s="1"/>
  <c r="AQ18" i="9"/>
  <c r="P70" i="9"/>
  <c r="H94" i="9"/>
  <c r="H97" i="9" s="1"/>
  <c r="H98" i="9" s="1"/>
  <c r="H99" i="9" s="1"/>
  <c r="J39" i="9"/>
  <c r="AI18" i="9"/>
  <c r="I33" i="9"/>
  <c r="AI15" i="9"/>
  <c r="M41" i="9"/>
  <c r="Q37" i="9"/>
  <c r="H9" i="9"/>
  <c r="AI9" i="9"/>
  <c r="E76" i="9" s="1"/>
  <c r="I76" i="9" s="1"/>
  <c r="L76" i="9" s="1"/>
  <c r="E74" i="9" l="1"/>
  <c r="J74" i="9" s="1"/>
  <c r="J85" i="9" s="1"/>
  <c r="AN24" i="9"/>
  <c r="I35" i="9"/>
  <c r="O19" i="9"/>
  <c r="F93" i="9" s="1"/>
  <c r="G37" i="9"/>
  <c r="I46" i="9"/>
  <c r="H27" i="9"/>
  <c r="F24" i="9"/>
  <c r="K40" i="9"/>
  <c r="F94" i="9"/>
  <c r="N76" i="9"/>
  <c r="H11" i="9"/>
  <c r="G16" i="9"/>
  <c r="Q38" i="9"/>
  <c r="J41" i="9"/>
  <c r="K41" i="9" s="1"/>
  <c r="P42" i="9"/>
  <c r="G38" i="9" l="1"/>
  <c r="O21" i="9"/>
  <c r="H28" i="9"/>
  <c r="P76" i="9"/>
  <c r="N82" i="9"/>
  <c r="N81" i="9"/>
  <c r="P82" i="9" l="1"/>
  <c r="P81" i="9"/>
  <c r="R30" i="7" l="1"/>
  <c r="H30" i="7"/>
  <c r="G30" i="7"/>
  <c r="D30" i="7"/>
  <c r="C30" i="7"/>
  <c r="R29" i="7"/>
  <c r="H29" i="7"/>
  <c r="G29" i="7"/>
  <c r="D29" i="7"/>
  <c r="K29" i="7" s="1"/>
  <c r="C29" i="7"/>
  <c r="J29" i="7" s="1"/>
  <c r="R28" i="7"/>
  <c r="H28" i="7"/>
  <c r="K28" i="7" s="1"/>
  <c r="G28" i="7"/>
  <c r="D28" i="7"/>
  <c r="C28" i="7"/>
  <c r="R27" i="7"/>
  <c r="H27" i="7"/>
  <c r="G27" i="7"/>
  <c r="D27" i="7"/>
  <c r="K27" i="7" s="1"/>
  <c r="C27" i="7"/>
  <c r="J27" i="7" s="1"/>
  <c r="M27" i="7" s="1"/>
  <c r="R26" i="7"/>
  <c r="H26" i="7"/>
  <c r="K26" i="7" s="1"/>
  <c r="G26" i="7"/>
  <c r="D26" i="7"/>
  <c r="C26" i="7"/>
  <c r="J26" i="7" s="1"/>
  <c r="R25" i="7"/>
  <c r="H25" i="7"/>
  <c r="G25" i="7"/>
  <c r="D25" i="7"/>
  <c r="K25" i="7" s="1"/>
  <c r="C25" i="7"/>
  <c r="J25" i="7" s="1"/>
  <c r="R24" i="7"/>
  <c r="H24" i="7"/>
  <c r="G24" i="7"/>
  <c r="D24" i="7"/>
  <c r="C24" i="7"/>
  <c r="R23" i="7"/>
  <c r="H23" i="7"/>
  <c r="G23" i="7"/>
  <c r="D23" i="7"/>
  <c r="C23" i="7"/>
  <c r="J23" i="7" s="1"/>
  <c r="R22" i="7"/>
  <c r="H22" i="7"/>
  <c r="G22" i="7"/>
  <c r="D22" i="7"/>
  <c r="C22" i="7"/>
  <c r="J22" i="7" s="1"/>
  <c r="R21" i="7"/>
  <c r="H21" i="7"/>
  <c r="G21" i="7"/>
  <c r="J21" i="7" s="1"/>
  <c r="D21" i="7"/>
  <c r="K21" i="7" s="1"/>
  <c r="C21" i="7"/>
  <c r="R20" i="7"/>
  <c r="H20" i="7"/>
  <c r="G20" i="7"/>
  <c r="D20" i="7"/>
  <c r="K20" i="7" s="1"/>
  <c r="C20" i="7"/>
  <c r="J20" i="7" s="1"/>
  <c r="M20" i="7" s="1"/>
  <c r="R19" i="7"/>
  <c r="H19" i="7"/>
  <c r="G19" i="7"/>
  <c r="D19" i="7"/>
  <c r="K19" i="7" s="1"/>
  <c r="C19" i="7"/>
  <c r="J19" i="7" s="1"/>
  <c r="R18" i="7"/>
  <c r="H18" i="7"/>
  <c r="K18" i="7" s="1"/>
  <c r="G18" i="7"/>
  <c r="D18" i="7"/>
  <c r="C18" i="7"/>
  <c r="R17" i="7"/>
  <c r="H17" i="7"/>
  <c r="G17" i="7"/>
  <c r="D17" i="7"/>
  <c r="K17" i="7" s="1"/>
  <c r="C17" i="7"/>
  <c r="R16" i="7"/>
  <c r="H16" i="7"/>
  <c r="G16" i="7"/>
  <c r="D16" i="7"/>
  <c r="C16" i="7"/>
  <c r="R15" i="7"/>
  <c r="H15" i="7"/>
  <c r="G15" i="7"/>
  <c r="D15" i="7"/>
  <c r="K15" i="7" s="1"/>
  <c r="C15" i="7"/>
  <c r="R14" i="7"/>
  <c r="H14" i="7"/>
  <c r="G14" i="7"/>
  <c r="D14" i="7"/>
  <c r="C14" i="7"/>
  <c r="R13" i="7"/>
  <c r="J13" i="7"/>
  <c r="H13" i="7"/>
  <c r="G13" i="7"/>
  <c r="D13" i="7"/>
  <c r="K13" i="7" s="1"/>
  <c r="C13" i="7"/>
  <c r="R12" i="7"/>
  <c r="H12" i="7"/>
  <c r="G12" i="7"/>
  <c r="D12" i="7"/>
  <c r="C12" i="7"/>
  <c r="J12" i="7" s="1"/>
  <c r="R11" i="7"/>
  <c r="H11" i="7"/>
  <c r="G11" i="7"/>
  <c r="D11" i="7"/>
  <c r="K11" i="7" s="1"/>
  <c r="C11" i="7"/>
  <c r="R10" i="7"/>
  <c r="H10" i="7"/>
  <c r="G10" i="7"/>
  <c r="D10" i="7"/>
  <c r="C10" i="7"/>
  <c r="R9" i="7"/>
  <c r="H9" i="7"/>
  <c r="G9" i="7"/>
  <c r="D9" i="7"/>
  <c r="C9" i="7"/>
  <c r="R8" i="7"/>
  <c r="H8" i="7"/>
  <c r="G8" i="7"/>
  <c r="D8" i="7"/>
  <c r="C8" i="7"/>
  <c r="R7" i="7"/>
  <c r="H7" i="7"/>
  <c r="G7" i="7"/>
  <c r="D7" i="7"/>
  <c r="C7" i="7"/>
  <c r="R6" i="7"/>
  <c r="H6" i="7"/>
  <c r="G6" i="7"/>
  <c r="D6" i="7"/>
  <c r="C6" i="7"/>
  <c r="J6" i="7" s="1"/>
  <c r="R5" i="7"/>
  <c r="H5" i="7"/>
  <c r="G5" i="7"/>
  <c r="D5" i="7"/>
  <c r="K5" i="7" s="1"/>
  <c r="C5" i="7"/>
  <c r="J5" i="7" s="1"/>
  <c r="R4" i="7"/>
  <c r="H4" i="7"/>
  <c r="G4" i="7"/>
  <c r="J4" i="7" s="1"/>
  <c r="M4" i="7" s="1"/>
  <c r="D4" i="7"/>
  <c r="C4" i="7"/>
  <c r="Q126" i="6"/>
  <c r="O126" i="6"/>
  <c r="N126" i="6"/>
  <c r="Q125" i="6"/>
  <c r="O125" i="6"/>
  <c r="N125" i="6"/>
  <c r="Q124" i="6"/>
  <c r="O124" i="6"/>
  <c r="N124" i="6"/>
  <c r="Q123" i="6"/>
  <c r="O123" i="6"/>
  <c r="N123" i="6"/>
  <c r="Q122" i="6"/>
  <c r="O122" i="6"/>
  <c r="N122" i="6"/>
  <c r="Q121" i="6"/>
  <c r="O121" i="6"/>
  <c r="N121" i="6"/>
  <c r="Q120" i="6"/>
  <c r="O120" i="6"/>
  <c r="N120" i="6"/>
  <c r="Q119" i="6"/>
  <c r="O119" i="6"/>
  <c r="N119" i="6"/>
  <c r="Q118" i="6"/>
  <c r="O118" i="6"/>
  <c r="N118" i="6"/>
  <c r="Q117" i="6"/>
  <c r="O117" i="6"/>
  <c r="N117" i="6"/>
  <c r="Q116" i="6"/>
  <c r="O116" i="6"/>
  <c r="N116" i="6"/>
  <c r="Q115" i="6"/>
  <c r="O115" i="6"/>
  <c r="N115" i="6"/>
  <c r="Q114" i="6"/>
  <c r="O114" i="6"/>
  <c r="N114" i="6"/>
  <c r="Q113" i="6"/>
  <c r="O113" i="6"/>
  <c r="N113" i="6"/>
  <c r="Q112" i="6"/>
  <c r="O112" i="6"/>
  <c r="N112" i="6"/>
  <c r="Q111" i="6"/>
  <c r="O111" i="6"/>
  <c r="N111" i="6"/>
  <c r="Q110" i="6"/>
  <c r="O110" i="6"/>
  <c r="N110" i="6"/>
  <c r="Q109" i="6"/>
  <c r="O109" i="6"/>
  <c r="N109" i="6"/>
  <c r="Q108" i="6"/>
  <c r="O108" i="6"/>
  <c r="N108" i="6"/>
  <c r="Q107" i="6"/>
  <c r="O107" i="6"/>
  <c r="N107" i="6"/>
  <c r="Q106" i="6"/>
  <c r="O106" i="6"/>
  <c r="N106" i="6"/>
  <c r="Q105" i="6"/>
  <c r="O105" i="6"/>
  <c r="N105" i="6"/>
  <c r="P105" i="6" s="1"/>
  <c r="Q104" i="6"/>
  <c r="O104" i="6"/>
  <c r="N104" i="6"/>
  <c r="Q103" i="6"/>
  <c r="O103" i="6"/>
  <c r="N103" i="6"/>
  <c r="Q102" i="6"/>
  <c r="O102" i="6"/>
  <c r="N102" i="6"/>
  <c r="Q101" i="6"/>
  <c r="O101" i="6"/>
  <c r="N101" i="6"/>
  <c r="Q100" i="6"/>
  <c r="O100" i="6"/>
  <c r="N100" i="6"/>
  <c r="Q99" i="6"/>
  <c r="O99" i="6"/>
  <c r="N99" i="6"/>
  <c r="P99" i="6" s="1"/>
  <c r="Q98" i="6"/>
  <c r="O98" i="6"/>
  <c r="N98" i="6"/>
  <c r="Q97" i="6"/>
  <c r="O97" i="6"/>
  <c r="N97" i="6"/>
  <c r="Q96" i="6"/>
  <c r="O96" i="6"/>
  <c r="N96" i="6"/>
  <c r="Q95" i="6"/>
  <c r="O95" i="6"/>
  <c r="N95" i="6"/>
  <c r="Q94" i="6"/>
  <c r="O94" i="6"/>
  <c r="N94" i="6"/>
  <c r="Q93" i="6"/>
  <c r="O93" i="6"/>
  <c r="N93" i="6"/>
  <c r="Q92" i="6"/>
  <c r="O92" i="6"/>
  <c r="N92" i="6"/>
  <c r="Q91" i="6"/>
  <c r="O91" i="6"/>
  <c r="N91" i="6"/>
  <c r="Q90" i="6"/>
  <c r="O90" i="6"/>
  <c r="N90" i="6"/>
  <c r="Q89" i="6"/>
  <c r="O89" i="6"/>
  <c r="N89" i="6"/>
  <c r="Q88" i="6"/>
  <c r="O88" i="6"/>
  <c r="N88" i="6"/>
  <c r="Q87" i="6"/>
  <c r="O87" i="6"/>
  <c r="N87" i="6"/>
  <c r="Q86" i="6"/>
  <c r="O86" i="6"/>
  <c r="N86" i="6"/>
  <c r="Q85" i="6"/>
  <c r="O85" i="6"/>
  <c r="N85" i="6"/>
  <c r="Q84" i="6"/>
  <c r="P84" i="6"/>
  <c r="O84" i="6"/>
  <c r="N84" i="6"/>
  <c r="Q83" i="6"/>
  <c r="O83" i="6"/>
  <c r="N83" i="6"/>
  <c r="Q82" i="6"/>
  <c r="O82" i="6"/>
  <c r="N82" i="6"/>
  <c r="Q81" i="6"/>
  <c r="O81" i="6"/>
  <c r="N81" i="6"/>
  <c r="Q80" i="6"/>
  <c r="O80" i="6"/>
  <c r="N80" i="6"/>
  <c r="Q79" i="6"/>
  <c r="O79" i="6"/>
  <c r="N79" i="6"/>
  <c r="Q78" i="6"/>
  <c r="O78" i="6"/>
  <c r="N78" i="6"/>
  <c r="Q77" i="6"/>
  <c r="O77" i="6"/>
  <c r="N77" i="6"/>
  <c r="Q76" i="6"/>
  <c r="O76" i="6"/>
  <c r="N76" i="6"/>
  <c r="Q75" i="6"/>
  <c r="O75" i="6"/>
  <c r="N75" i="6"/>
  <c r="Q74" i="6"/>
  <c r="O74" i="6"/>
  <c r="N74" i="6"/>
  <c r="Q73" i="6"/>
  <c r="O73" i="6"/>
  <c r="N73" i="6"/>
  <c r="Q72" i="6"/>
  <c r="O72" i="6"/>
  <c r="N72" i="6"/>
  <c r="Q71" i="6"/>
  <c r="O71" i="6"/>
  <c r="N71" i="6"/>
  <c r="Q70" i="6"/>
  <c r="O70" i="6"/>
  <c r="N70" i="6"/>
  <c r="Q69" i="6"/>
  <c r="O69" i="6"/>
  <c r="Q68" i="6"/>
  <c r="O68" i="6"/>
  <c r="N68" i="6"/>
  <c r="Q67" i="6"/>
  <c r="O67" i="6"/>
  <c r="N67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1" i="6"/>
  <c r="G50" i="3"/>
  <c r="N49" i="3"/>
  <c r="S37" i="3"/>
  <c r="G37" i="3"/>
  <c r="S36" i="3"/>
  <c r="N47" i="3" s="1"/>
  <c r="G36" i="3"/>
  <c r="O34" i="3"/>
  <c r="O33" i="3"/>
  <c r="I32" i="3"/>
  <c r="M31" i="3"/>
  <c r="S30" i="3"/>
  <c r="N59" i="3" s="1"/>
  <c r="M30" i="3"/>
  <c r="S29" i="3"/>
  <c r="C29" i="3"/>
  <c r="S28" i="3"/>
  <c r="N48" i="3" s="1"/>
  <c r="C28" i="3"/>
  <c r="N46" i="3" s="1"/>
  <c r="I27" i="3"/>
  <c r="L26" i="3"/>
  <c r="I26" i="3"/>
  <c r="L25" i="3"/>
  <c r="I25" i="3"/>
  <c r="G27" i="3" s="1"/>
  <c r="J47" i="3" s="1"/>
  <c r="P24" i="3"/>
  <c r="P23" i="3"/>
  <c r="P22" i="3"/>
  <c r="K21" i="3"/>
  <c r="X20" i="3"/>
  <c r="K20" i="3"/>
  <c r="Y19" i="3"/>
  <c r="J19" i="3"/>
  <c r="J46" i="3" s="1"/>
  <c r="D18" i="3"/>
  <c r="D17" i="3"/>
  <c r="M16" i="3"/>
  <c r="D16" i="3"/>
  <c r="M15" i="3"/>
  <c r="O20" i="3" s="1"/>
  <c r="J48" i="3" s="1"/>
  <c r="H14" i="3"/>
  <c r="H13" i="3"/>
  <c r="J12" i="3"/>
  <c r="H12" i="3"/>
  <c r="Q11" i="3"/>
  <c r="J11" i="3"/>
  <c r="C10" i="3"/>
  <c r="N56" i="3" s="1"/>
  <c r="C9" i="3"/>
  <c r="Q8" i="3"/>
  <c r="C8" i="3"/>
  <c r="E7" i="3" s="1"/>
  <c r="J45" i="3" s="1"/>
  <c r="I7" i="3"/>
  <c r="F7" i="3"/>
  <c r="I6" i="3"/>
  <c r="G45" i="3" s="1"/>
  <c r="F6" i="3"/>
  <c r="J122" i="2"/>
  <c r="J120" i="2"/>
  <c r="I120" i="2"/>
  <c r="J112" i="2"/>
  <c r="I107" i="2"/>
  <c r="I101" i="2"/>
  <c r="I96" i="2"/>
  <c r="I123" i="2" s="1"/>
  <c r="N95" i="2"/>
  <c r="K122" i="2" s="1"/>
  <c r="M95" i="2"/>
  <c r="M93" i="2"/>
  <c r="I93" i="2"/>
  <c r="N92" i="2"/>
  <c r="K119" i="2" s="1"/>
  <c r="M90" i="2"/>
  <c r="J117" i="2" s="1"/>
  <c r="I90" i="2"/>
  <c r="I117" i="2" s="1"/>
  <c r="I88" i="2"/>
  <c r="I115" i="2" s="1"/>
  <c r="M85" i="2"/>
  <c r="I85" i="2"/>
  <c r="I112" i="2" s="1"/>
  <c r="N84" i="2"/>
  <c r="K111" i="2" s="1"/>
  <c r="N82" i="2"/>
  <c r="K109" i="2" s="1"/>
  <c r="M82" i="2"/>
  <c r="J109" i="2" s="1"/>
  <c r="I82" i="2"/>
  <c r="I109" i="2" s="1"/>
  <c r="I80" i="2"/>
  <c r="M78" i="2"/>
  <c r="J105" i="2" s="1"/>
  <c r="N74" i="2"/>
  <c r="K101" i="2" s="1"/>
  <c r="I74" i="2"/>
  <c r="R71" i="2"/>
  <c r="T69" i="2"/>
  <c r="S69" i="2"/>
  <c r="V69" i="2" s="1"/>
  <c r="R69" i="2"/>
  <c r="O69" i="2"/>
  <c r="G38" i="3" s="1"/>
  <c r="N60" i="3" s="1"/>
  <c r="K69" i="2"/>
  <c r="N96" i="2" s="1"/>
  <c r="K123" i="2" s="1"/>
  <c r="J69" i="2"/>
  <c r="M96" i="2" s="1"/>
  <c r="J123" i="2" s="1"/>
  <c r="I69" i="2"/>
  <c r="H69" i="2"/>
  <c r="V68" i="2"/>
  <c r="T68" i="2"/>
  <c r="S68" i="2"/>
  <c r="O68" i="2"/>
  <c r="S38" i="3" s="1"/>
  <c r="N58" i="3" s="1"/>
  <c r="K68" i="2"/>
  <c r="J68" i="2"/>
  <c r="R68" i="2" s="1"/>
  <c r="I68" i="2"/>
  <c r="I95" i="2" s="1"/>
  <c r="I122" i="2" s="1"/>
  <c r="H68" i="2"/>
  <c r="P67" i="2"/>
  <c r="O67" i="2"/>
  <c r="I67" i="2"/>
  <c r="I94" i="2" s="1"/>
  <c r="I121" i="2" s="1"/>
  <c r="H67" i="2"/>
  <c r="V66" i="2"/>
  <c r="T66" i="2"/>
  <c r="S66" i="2"/>
  <c r="O66" i="2"/>
  <c r="O35" i="3" s="1"/>
  <c r="K66" i="2"/>
  <c r="N93" i="2" s="1"/>
  <c r="K120" i="2" s="1"/>
  <c r="J66" i="2"/>
  <c r="R66" i="2" s="1"/>
  <c r="I66" i="2"/>
  <c r="H66" i="2"/>
  <c r="O65" i="2"/>
  <c r="K65" i="2"/>
  <c r="S65" i="2" s="1"/>
  <c r="V65" i="2" s="1"/>
  <c r="J65" i="2"/>
  <c r="M92" i="2" s="1"/>
  <c r="J119" i="2" s="1"/>
  <c r="I65" i="2"/>
  <c r="I92" i="2" s="1"/>
  <c r="I119" i="2" s="1"/>
  <c r="H65" i="2"/>
  <c r="O64" i="2"/>
  <c r="K64" i="2"/>
  <c r="S64" i="2" s="1"/>
  <c r="V64" i="2" s="1"/>
  <c r="J64" i="2"/>
  <c r="I64" i="2"/>
  <c r="I91" i="2" s="1"/>
  <c r="I118" i="2" s="1"/>
  <c r="H64" i="2"/>
  <c r="O63" i="2"/>
  <c r="K63" i="2"/>
  <c r="S63" i="2" s="1"/>
  <c r="V63" i="2" s="1"/>
  <c r="J63" i="2"/>
  <c r="R63" i="2" s="1"/>
  <c r="T63" i="2" s="1"/>
  <c r="I63" i="2"/>
  <c r="H63" i="2"/>
  <c r="P62" i="2"/>
  <c r="O62" i="2"/>
  <c r="I62" i="2"/>
  <c r="I89" i="2" s="1"/>
  <c r="I116" i="2" s="1"/>
  <c r="H62" i="2"/>
  <c r="O61" i="2"/>
  <c r="M32" i="3" s="1"/>
  <c r="K61" i="2"/>
  <c r="J61" i="2"/>
  <c r="I61" i="2"/>
  <c r="H61" i="2"/>
  <c r="O60" i="2"/>
  <c r="K60" i="2"/>
  <c r="S60" i="2" s="1"/>
  <c r="V60" i="2" s="1"/>
  <c r="J60" i="2"/>
  <c r="I60" i="2"/>
  <c r="I87" i="2" s="1"/>
  <c r="I114" i="2" s="1"/>
  <c r="H60" i="2"/>
  <c r="O59" i="2"/>
  <c r="AH32" i="2" s="1"/>
  <c r="I59" i="2"/>
  <c r="I86" i="2" s="1"/>
  <c r="I113" i="2" s="1"/>
  <c r="H59" i="2"/>
  <c r="S58" i="2"/>
  <c r="V58" i="2" s="1"/>
  <c r="R58" i="2"/>
  <c r="T58" i="2" s="1"/>
  <c r="O58" i="2"/>
  <c r="K58" i="2"/>
  <c r="N85" i="2" s="1"/>
  <c r="K112" i="2" s="1"/>
  <c r="J58" i="2"/>
  <c r="I58" i="2"/>
  <c r="H58" i="2"/>
  <c r="AB57" i="2"/>
  <c r="V57" i="2"/>
  <c r="O57" i="2"/>
  <c r="C30" i="3" s="1"/>
  <c r="N57" i="3" s="1"/>
  <c r="N61" i="3" s="1"/>
  <c r="K57" i="2"/>
  <c r="S57" i="2" s="1"/>
  <c r="J57" i="2"/>
  <c r="M84" i="2" s="1"/>
  <c r="J111" i="2" s="1"/>
  <c r="I57" i="2"/>
  <c r="I84" i="2" s="1"/>
  <c r="I111" i="2" s="1"/>
  <c r="H57" i="2"/>
  <c r="P56" i="2"/>
  <c r="O56" i="2"/>
  <c r="AH29" i="2" s="1"/>
  <c r="I56" i="2"/>
  <c r="I83" i="2" s="1"/>
  <c r="I110" i="2" s="1"/>
  <c r="H56" i="2"/>
  <c r="D56" i="2"/>
  <c r="G56" i="2" s="1"/>
  <c r="T55" i="2"/>
  <c r="O55" i="2"/>
  <c r="K55" i="2"/>
  <c r="S55" i="2" s="1"/>
  <c r="V55" i="2" s="1"/>
  <c r="J55" i="2"/>
  <c r="R55" i="2" s="1"/>
  <c r="I55" i="2"/>
  <c r="H55" i="2"/>
  <c r="O54" i="2"/>
  <c r="K22" i="3" s="1"/>
  <c r="K54" i="2"/>
  <c r="N81" i="2" s="1"/>
  <c r="K108" i="2" s="1"/>
  <c r="J54" i="2"/>
  <c r="I54" i="2"/>
  <c r="I81" i="2" s="1"/>
  <c r="I108" i="2" s="1"/>
  <c r="H54" i="2"/>
  <c r="P53" i="2"/>
  <c r="O53" i="2"/>
  <c r="AH26" i="2" s="1"/>
  <c r="I53" i="2"/>
  <c r="H53" i="2"/>
  <c r="D53" i="2"/>
  <c r="G53" i="2" s="1"/>
  <c r="O52" i="2"/>
  <c r="J13" i="3" s="1"/>
  <c r="I52" i="2"/>
  <c r="I79" i="2" s="1"/>
  <c r="I106" i="2" s="1"/>
  <c r="H52" i="2"/>
  <c r="R51" i="2"/>
  <c r="T51" i="2" s="1"/>
  <c r="O51" i="2"/>
  <c r="K51" i="2"/>
  <c r="I51" i="2"/>
  <c r="I78" i="2" s="1"/>
  <c r="I105" i="2" s="1"/>
  <c r="H51" i="2"/>
  <c r="O50" i="2"/>
  <c r="I50" i="2"/>
  <c r="I77" i="2" s="1"/>
  <c r="I104" i="2" s="1"/>
  <c r="H50" i="2"/>
  <c r="P49" i="2"/>
  <c r="O49" i="2"/>
  <c r="I49" i="2"/>
  <c r="I76" i="2" s="1"/>
  <c r="I103" i="2" s="1"/>
  <c r="H49" i="2"/>
  <c r="D49" i="2"/>
  <c r="G49" i="2" s="1"/>
  <c r="O48" i="2"/>
  <c r="K48" i="2"/>
  <c r="J48" i="2"/>
  <c r="I48" i="2"/>
  <c r="I75" i="2" s="1"/>
  <c r="I102" i="2" s="1"/>
  <c r="H48" i="2"/>
  <c r="O47" i="2"/>
  <c r="F8" i="3" s="1"/>
  <c r="K47" i="2"/>
  <c r="S47" i="2" s="1"/>
  <c r="V47" i="2" s="1"/>
  <c r="J47" i="2"/>
  <c r="R47" i="2" s="1"/>
  <c r="T47" i="2" s="1"/>
  <c r="I47" i="2"/>
  <c r="H47" i="2"/>
  <c r="R46" i="2"/>
  <c r="T46" i="2" s="1"/>
  <c r="O46" i="2"/>
  <c r="K46" i="2"/>
  <c r="J46" i="2"/>
  <c r="M73" i="2" s="1"/>
  <c r="J100" i="2" s="1"/>
  <c r="AB58" i="2" s="1"/>
  <c r="I46" i="2"/>
  <c r="I73" i="2" s="1"/>
  <c r="I100" i="2" s="1"/>
  <c r="H46" i="2"/>
  <c r="T45" i="2"/>
  <c r="AH42" i="2"/>
  <c r="AG42" i="2"/>
  <c r="AH41" i="2"/>
  <c r="AG41" i="2"/>
  <c r="AH40" i="2"/>
  <c r="AG40" i="2"/>
  <c r="AH39" i="2"/>
  <c r="AG39" i="2"/>
  <c r="AH38" i="2"/>
  <c r="AG38" i="2"/>
  <c r="AH37" i="2"/>
  <c r="AG37" i="2"/>
  <c r="AH36" i="2"/>
  <c r="AG36" i="2"/>
  <c r="AG35" i="2"/>
  <c r="AH34" i="2"/>
  <c r="AG34" i="2"/>
  <c r="AG33" i="2"/>
  <c r="AG32" i="2"/>
  <c r="AH31" i="2"/>
  <c r="AG31" i="2"/>
  <c r="AH30" i="2"/>
  <c r="AG30" i="2"/>
  <c r="AG29" i="2"/>
  <c r="AH28" i="2"/>
  <c r="AG28" i="2"/>
  <c r="AH27" i="2"/>
  <c r="AG27" i="2"/>
  <c r="AG26" i="2"/>
  <c r="AG25" i="2"/>
  <c r="AH24" i="2"/>
  <c r="AG24" i="2"/>
  <c r="AH23" i="2"/>
  <c r="AG23" i="2"/>
  <c r="AG22" i="2"/>
  <c r="AH21" i="2"/>
  <c r="AG21" i="2"/>
  <c r="AH20" i="2"/>
  <c r="AG20" i="2"/>
  <c r="AG19" i="2"/>
  <c r="T25" i="2"/>
  <c r="F67" i="2"/>
  <c r="K67" i="2" s="1"/>
  <c r="D67" i="2"/>
  <c r="G67" i="2" s="1"/>
  <c r="F62" i="2"/>
  <c r="K62" i="2" s="1"/>
  <c r="Q20" i="2"/>
  <c r="F53" i="2"/>
  <c r="N11" i="2"/>
  <c r="J7" i="2"/>
  <c r="F49" i="2"/>
  <c r="K49" i="2" s="1"/>
  <c r="E49" i="2"/>
  <c r="J49" i="2" s="1"/>
  <c r="J60" i="3" l="1"/>
  <c r="P93" i="6"/>
  <c r="P97" i="6"/>
  <c r="K4" i="7"/>
  <c r="K8" i="7"/>
  <c r="K10" i="7"/>
  <c r="P111" i="6"/>
  <c r="P121" i="6"/>
  <c r="P120" i="6"/>
  <c r="K12" i="7"/>
  <c r="N12" i="7" s="1"/>
  <c r="P75" i="6"/>
  <c r="K14" i="7"/>
  <c r="K16" i="7"/>
  <c r="P69" i="6"/>
  <c r="K22" i="7"/>
  <c r="P88" i="6"/>
  <c r="J14" i="7"/>
  <c r="J18" i="7"/>
  <c r="M18" i="7" s="1"/>
  <c r="P82" i="6"/>
  <c r="P71" i="6"/>
  <c r="P80" i="6"/>
  <c r="J11" i="7"/>
  <c r="M11" i="7" s="1"/>
  <c r="J30" i="7"/>
  <c r="M30" i="7" s="1"/>
  <c r="P73" i="6"/>
  <c r="N18" i="7"/>
  <c r="P96" i="6"/>
  <c r="P100" i="6"/>
  <c r="M12" i="7"/>
  <c r="M19" i="7"/>
  <c r="N19" i="7"/>
  <c r="J7" i="7"/>
  <c r="J9" i="7"/>
  <c r="M9" i="7" s="1"/>
  <c r="J28" i="7"/>
  <c r="N28" i="7" s="1"/>
  <c r="K9" i="7"/>
  <c r="J17" i="7"/>
  <c r="M17" i="7" s="1"/>
  <c r="J10" i="7"/>
  <c r="M10" i="7" s="1"/>
  <c r="K23" i="7"/>
  <c r="N23" i="7" s="1"/>
  <c r="N27" i="7"/>
  <c r="K24" i="7"/>
  <c r="J24" i="7"/>
  <c r="P125" i="6"/>
  <c r="P114" i="6"/>
  <c r="P107" i="6"/>
  <c r="P104" i="6"/>
  <c r="P116" i="6"/>
  <c r="P102" i="6"/>
  <c r="P103" i="6"/>
  <c r="P112" i="6"/>
  <c r="P113" i="6"/>
  <c r="N89" i="2"/>
  <c r="K116" i="2" s="1"/>
  <c r="S62" i="2"/>
  <c r="V62" i="2" s="1"/>
  <c r="J50" i="3"/>
  <c r="N52" i="3" s="1"/>
  <c r="M76" i="2"/>
  <c r="J103" i="2" s="1"/>
  <c r="R49" i="2"/>
  <c r="T49" i="2" s="1"/>
  <c r="Q49" i="2"/>
  <c r="S49" i="2"/>
  <c r="V49" i="2" s="1"/>
  <c r="N76" i="2"/>
  <c r="K103" i="2" s="1"/>
  <c r="N78" i="2"/>
  <c r="K105" i="2" s="1"/>
  <c r="S51" i="2"/>
  <c r="V51" i="2" s="1"/>
  <c r="F56" i="2"/>
  <c r="R61" i="2"/>
  <c r="T61" i="2" s="1"/>
  <c r="M88" i="2"/>
  <c r="J115" i="2" s="1"/>
  <c r="P85" i="6"/>
  <c r="N29" i="7"/>
  <c r="M29" i="7"/>
  <c r="Q12" i="3"/>
  <c r="P110" i="6"/>
  <c r="N21" i="7"/>
  <c r="M21" i="7"/>
  <c r="E53" i="2"/>
  <c r="J53" i="2" s="1"/>
  <c r="R64" i="2"/>
  <c r="T64" i="2" s="1"/>
  <c r="M91" i="2"/>
  <c r="J118" i="2" s="1"/>
  <c r="P76" i="6"/>
  <c r="P108" i="6"/>
  <c r="M6" i="7"/>
  <c r="M23" i="7"/>
  <c r="S67" i="2"/>
  <c r="V67" i="2" s="1"/>
  <c r="N94" i="2"/>
  <c r="K121" i="2" s="1"/>
  <c r="P78" i="6"/>
  <c r="S61" i="2"/>
  <c r="V61" i="2" s="1"/>
  <c r="N88" i="2"/>
  <c r="K115" i="2" s="1"/>
  <c r="M26" i="7"/>
  <c r="N26" i="7"/>
  <c r="J50" i="2"/>
  <c r="J59" i="2"/>
  <c r="R60" i="2"/>
  <c r="T60" i="2" s="1"/>
  <c r="D62" i="2"/>
  <c r="N90" i="2"/>
  <c r="K117" i="2" s="1"/>
  <c r="Q14" i="3"/>
  <c r="J57" i="3"/>
  <c r="P74" i="6"/>
  <c r="P98" i="6"/>
  <c r="N4" i="7"/>
  <c r="N5" i="7"/>
  <c r="M5" i="7"/>
  <c r="N73" i="2"/>
  <c r="K100" i="2" s="1"/>
  <c r="S46" i="2"/>
  <c r="V46" i="2" s="1"/>
  <c r="V45" i="2" s="1"/>
  <c r="AE44" i="2" s="1"/>
  <c r="P72" i="6"/>
  <c r="AH19" i="2"/>
  <c r="I8" i="3"/>
  <c r="G56" i="3" s="1"/>
  <c r="G61" i="3" s="1"/>
  <c r="M17" i="3"/>
  <c r="AH33" i="2"/>
  <c r="Q9" i="3"/>
  <c r="N45" i="3"/>
  <c r="N50" i="3" s="1"/>
  <c r="J58" i="3"/>
  <c r="P67" i="6"/>
  <c r="P70" i="6"/>
  <c r="P89" i="6"/>
  <c r="P126" i="6"/>
  <c r="M81" i="2"/>
  <c r="J108" i="2" s="1"/>
  <c r="R54" i="2"/>
  <c r="T54" i="2" s="1"/>
  <c r="E67" i="2"/>
  <c r="J67" i="2" s="1"/>
  <c r="M75" i="2"/>
  <c r="J102" i="2" s="1"/>
  <c r="R48" i="2"/>
  <c r="T48" i="2" s="1"/>
  <c r="J56" i="3"/>
  <c r="J61" i="3" s="1"/>
  <c r="AH22" i="2"/>
  <c r="K59" i="2"/>
  <c r="M87" i="2"/>
  <c r="J114" i="2" s="1"/>
  <c r="L27" i="3"/>
  <c r="Q15" i="3" s="1"/>
  <c r="P87" i="6"/>
  <c r="P92" i="6"/>
  <c r="P94" i="6"/>
  <c r="AH35" i="2"/>
  <c r="N75" i="2"/>
  <c r="K102" i="2" s="1"/>
  <c r="S48" i="2"/>
  <c r="V48" i="2" s="1"/>
  <c r="M74" i="2"/>
  <c r="J101" i="2" s="1"/>
  <c r="N87" i="2"/>
  <c r="K114" i="2" s="1"/>
  <c r="P40" i="3"/>
  <c r="J49" i="3" s="1"/>
  <c r="P83" i="6"/>
  <c r="K7" i="7"/>
  <c r="J16" i="7"/>
  <c r="N25" i="7"/>
  <c r="M25" i="7"/>
  <c r="P68" i="6"/>
  <c r="P81" i="6"/>
  <c r="P124" i="6"/>
  <c r="N14" i="7"/>
  <c r="M14" i="7"/>
  <c r="AH25" i="2"/>
  <c r="N91" i="2"/>
  <c r="K118" i="2" s="1"/>
  <c r="P79" i="6"/>
  <c r="P90" i="6"/>
  <c r="P106" i="6"/>
  <c r="P122" i="6"/>
  <c r="K6" i="7"/>
  <c r="N6" i="7" s="1"/>
  <c r="N13" i="7"/>
  <c r="M13" i="7"/>
  <c r="N20" i="7"/>
  <c r="S54" i="2"/>
  <c r="V54" i="2" s="1"/>
  <c r="R57" i="2"/>
  <c r="T57" i="2" s="1"/>
  <c r="R65" i="2"/>
  <c r="T65" i="2" s="1"/>
  <c r="P77" i="6"/>
  <c r="J15" i="7"/>
  <c r="K30" i="7"/>
  <c r="P86" i="6"/>
  <c r="P91" i="6"/>
  <c r="P118" i="6"/>
  <c r="J8" i="7"/>
  <c r="N22" i="7"/>
  <c r="M22" i="7"/>
  <c r="P95" i="6"/>
  <c r="P101" i="6"/>
  <c r="P109" i="6"/>
  <c r="P115" i="6"/>
  <c r="P117" i="6"/>
  <c r="P119" i="6"/>
  <c r="P123" i="6"/>
  <c r="N24" i="7" l="1"/>
  <c r="N7" i="7"/>
  <c r="N30" i="7"/>
  <c r="N11" i="7"/>
  <c r="N17" i="7"/>
  <c r="N10" i="7"/>
  <c r="M28" i="7"/>
  <c r="M24" i="7"/>
  <c r="N9" i="7"/>
  <c r="M7" i="7"/>
  <c r="N16" i="7"/>
  <c r="M16" i="7"/>
  <c r="R53" i="2"/>
  <c r="T53" i="2" s="1"/>
  <c r="M80" i="2"/>
  <c r="J107" i="2" s="1"/>
  <c r="Q53" i="2"/>
  <c r="K53" i="2"/>
  <c r="M86" i="2"/>
  <c r="J113" i="2" s="1"/>
  <c r="R59" i="2"/>
  <c r="T59" i="2" s="1"/>
  <c r="N15" i="7"/>
  <c r="M15" i="7"/>
  <c r="N86" i="2"/>
  <c r="K113" i="2" s="1"/>
  <c r="S59" i="2"/>
  <c r="V59" i="2" s="1"/>
  <c r="N63" i="3"/>
  <c r="R50" i="2"/>
  <c r="T50" i="2" s="1"/>
  <c r="J52" i="2"/>
  <c r="M77" i="2"/>
  <c r="J104" i="2" s="1"/>
  <c r="K56" i="2"/>
  <c r="R67" i="2"/>
  <c r="T67" i="2" s="1"/>
  <c r="M94" i="2"/>
  <c r="J121" i="2" s="1"/>
  <c r="Q67" i="2"/>
  <c r="K50" i="2"/>
  <c r="G62" i="2"/>
  <c r="J59" i="3" s="1"/>
  <c r="E62" i="2"/>
  <c r="J62" i="2" s="1"/>
  <c r="N8" i="7"/>
  <c r="M8" i="7"/>
  <c r="E56" i="2"/>
  <c r="J56" i="2" s="1"/>
  <c r="M14" i="2"/>
  <c r="W3" i="2" s="1" a="1"/>
  <c r="R56" i="2" l="1"/>
  <c r="T56" i="2" s="1"/>
  <c r="M83" i="2"/>
  <c r="J110" i="2" s="1"/>
  <c r="Q56" i="2"/>
  <c r="AR14" i="2"/>
  <c r="AJ14" i="2"/>
  <c r="AB14" i="2"/>
  <c r="AS13" i="2"/>
  <c r="AK13" i="2"/>
  <c r="AC13" i="2"/>
  <c r="AT12" i="2"/>
  <c r="AL12" i="2"/>
  <c r="AD12" i="2"/>
  <c r="AU11" i="2"/>
  <c r="AM11" i="2"/>
  <c r="AE11" i="2"/>
  <c r="W11" i="2"/>
  <c r="AN10" i="2"/>
  <c r="AF10" i="2"/>
  <c r="X10" i="2"/>
  <c r="AO9" i="2"/>
  <c r="AG9" i="2"/>
  <c r="Y9" i="2"/>
  <c r="AP8" i="2"/>
  <c r="AQ14" i="2"/>
  <c r="AI14" i="2"/>
  <c r="AA14" i="2"/>
  <c r="AR13" i="2"/>
  <c r="AJ13" i="2"/>
  <c r="AB13" i="2"/>
  <c r="AS12" i="2"/>
  <c r="AK12" i="2"/>
  <c r="AC12" i="2"/>
  <c r="AT11" i="2"/>
  <c r="AL11" i="2"/>
  <c r="AD11" i="2"/>
  <c r="AU10" i="2"/>
  <c r="AM10" i="2"/>
  <c r="AE10" i="2"/>
  <c r="W10" i="2"/>
  <c r="AN9" i="2"/>
  <c r="AF9" i="2"/>
  <c r="X9" i="2"/>
  <c r="AO8" i="2"/>
  <c r="AG8" i="2"/>
  <c r="Y8" i="2"/>
  <c r="AP7" i="2"/>
  <c r="AH7" i="2"/>
  <c r="Z7" i="2"/>
  <c r="AQ6" i="2"/>
  <c r="AP14" i="2"/>
  <c r="AH14" i="2"/>
  <c r="Z14" i="2"/>
  <c r="AQ13" i="2"/>
  <c r="AI13" i="2"/>
  <c r="AA13" i="2"/>
  <c r="AR12" i="2"/>
  <c r="AJ12" i="2"/>
  <c r="AB12" i="2"/>
  <c r="AS11" i="2"/>
  <c r="AK11" i="2"/>
  <c r="AC11" i="2"/>
  <c r="AT10" i="2"/>
  <c r="AL10" i="2"/>
  <c r="AD10" i="2"/>
  <c r="AU9" i="2"/>
  <c r="AM9" i="2"/>
  <c r="AE9" i="2"/>
  <c r="W9" i="2"/>
  <c r="AN8" i="2"/>
  <c r="AF8" i="2"/>
  <c r="X8" i="2"/>
  <c r="AO7" i="2"/>
  <c r="AG7" i="2"/>
  <c r="Y7" i="2"/>
  <c r="AP6" i="2"/>
  <c r="AN14" i="2"/>
  <c r="AF14" i="2"/>
  <c r="X14" i="2"/>
  <c r="AO13" i="2"/>
  <c r="AG13" i="2"/>
  <c r="Y13" i="2"/>
  <c r="AP12" i="2"/>
  <c r="AH12" i="2"/>
  <c r="Z12" i="2"/>
  <c r="AQ11" i="2"/>
  <c r="AI11" i="2"/>
  <c r="AA11" i="2"/>
  <c r="AR10" i="2"/>
  <c r="AJ10" i="2"/>
  <c r="AB10" i="2"/>
  <c r="AS9" i="2"/>
  <c r="AK9" i="2"/>
  <c r="AC9" i="2"/>
  <c r="AT8" i="2"/>
  <c r="AL8" i="2"/>
  <c r="AD8" i="2"/>
  <c r="AU7" i="2"/>
  <c r="AM7" i="2"/>
  <c r="AE7" i="2"/>
  <c r="W7" i="2"/>
  <c r="AN6" i="2"/>
  <c r="AO14" i="2"/>
  <c r="Y14" i="2"/>
  <c r="AH13" i="2"/>
  <c r="AQ12" i="2"/>
  <c r="AA12" i="2"/>
  <c r="AJ11" i="2"/>
  <c r="AS10" i="2"/>
  <c r="AC10" i="2"/>
  <c r="AL9" i="2"/>
  <c r="AU8" i="2"/>
  <c r="AH8" i="2"/>
  <c r="AS7" i="2"/>
  <c r="AF7" i="2"/>
  <c r="AS6" i="2"/>
  <c r="AH6" i="2"/>
  <c r="Z6" i="2"/>
  <c r="AQ5" i="2"/>
  <c r="AI5" i="2"/>
  <c r="AA5" i="2"/>
  <c r="AR4" i="2"/>
  <c r="AJ4" i="2"/>
  <c r="AB4" i="2"/>
  <c r="AS3" i="2"/>
  <c r="AK3" i="2"/>
  <c r="AC3" i="2"/>
  <c r="AT13" i="2"/>
  <c r="AB8" i="2"/>
  <c r="AO4" i="2"/>
  <c r="AA9" i="2"/>
  <c r="AT4" i="2"/>
  <c r="AS14" i="2"/>
  <c r="AL13" i="2"/>
  <c r="AN11" i="2"/>
  <c r="AG10" i="2"/>
  <c r="Z9" i="2"/>
  <c r="AI7" i="2"/>
  <c r="AI6" i="2"/>
  <c r="AJ5" i="2"/>
  <c r="AS4" i="2"/>
  <c r="AC4" i="2"/>
  <c r="AL3" i="2"/>
  <c r="W3" i="2"/>
  <c r="AM14" i="2"/>
  <c r="W14" i="2"/>
  <c r="AF13" i="2"/>
  <c r="AO12" i="2"/>
  <c r="Y12" i="2"/>
  <c r="AH11" i="2"/>
  <c r="AQ10" i="2"/>
  <c r="AA10" i="2"/>
  <c r="AJ9" i="2"/>
  <c r="AS8" i="2"/>
  <c r="AE8" i="2"/>
  <c r="AR7" i="2"/>
  <c r="AD7" i="2"/>
  <c r="AR6" i="2"/>
  <c r="AG6" i="2"/>
  <c r="Y6" i="2"/>
  <c r="AP5" i="2"/>
  <c r="AH5" i="2"/>
  <c r="Z5" i="2"/>
  <c r="AQ4" i="2"/>
  <c r="AI4" i="2"/>
  <c r="AA4" i="2"/>
  <c r="AR3" i="2"/>
  <c r="AJ3" i="2"/>
  <c r="AB3" i="2"/>
  <c r="W12" i="2"/>
  <c r="AO10" i="2"/>
  <c r="AH9" i="2"/>
  <c r="AN7" i="2"/>
  <c r="AM6" i="2"/>
  <c r="W6" i="2"/>
  <c r="AF5" i="2"/>
  <c r="AG4" i="2"/>
  <c r="AP3" i="2"/>
  <c r="Z3" i="2"/>
  <c r="AO11" i="2"/>
  <c r="AJ7" i="2"/>
  <c r="AK5" i="2"/>
  <c r="AU3" i="2"/>
  <c r="AL14" i="2"/>
  <c r="AU13" i="2"/>
  <c r="AE13" i="2"/>
  <c r="AN12" i="2"/>
  <c r="X12" i="2"/>
  <c r="AG11" i="2"/>
  <c r="AP10" i="2"/>
  <c r="Z10" i="2"/>
  <c r="AI9" i="2"/>
  <c r="AR8" i="2"/>
  <c r="AC8" i="2"/>
  <c r="AQ7" i="2"/>
  <c r="AC7" i="2"/>
  <c r="AO6" i="2"/>
  <c r="AF6" i="2"/>
  <c r="X6" i="2"/>
  <c r="AO5" i="2"/>
  <c r="AG5" i="2"/>
  <c r="Y5" i="2"/>
  <c r="AP4" i="2"/>
  <c r="AH4" i="2"/>
  <c r="Z4" i="2"/>
  <c r="AQ3" i="2"/>
  <c r="AI3" i="2"/>
  <c r="AA3" i="2"/>
  <c r="AK14" i="2"/>
  <c r="AD13" i="2"/>
  <c r="AM12" i="2"/>
  <c r="AF11" i="2"/>
  <c r="Y10" i="2"/>
  <c r="AQ8" i="2"/>
  <c r="AB7" i="2"/>
  <c r="AE6" i="2"/>
  <c r="AN5" i="2"/>
  <c r="X5" i="2"/>
  <c r="Y4" i="2"/>
  <c r="AH3" i="2"/>
  <c r="AT14" i="2"/>
  <c r="AH10" i="2"/>
  <c r="AU6" i="2"/>
  <c r="AC5" i="2"/>
  <c r="AM3" i="2"/>
  <c r="AT7" i="2"/>
  <c r="AG14" i="2"/>
  <c r="AP13" i="2"/>
  <c r="Z13" i="2"/>
  <c r="AI12" i="2"/>
  <c r="AR11" i="2"/>
  <c r="AB11" i="2"/>
  <c r="AK10" i="2"/>
  <c r="AT9" i="2"/>
  <c r="AD9" i="2"/>
  <c r="AM8" i="2"/>
  <c r="AA8" i="2"/>
  <c r="AL7" i="2"/>
  <c r="AA7" i="2"/>
  <c r="AL6" i="2"/>
  <c r="AD6" i="2"/>
  <c r="AU5" i="2"/>
  <c r="AM5" i="2"/>
  <c r="AE5" i="2"/>
  <c r="W5" i="2"/>
  <c r="AN4" i="2"/>
  <c r="AF4" i="2"/>
  <c r="X4" i="2"/>
  <c r="AO3" i="2"/>
  <c r="AG3" i="2"/>
  <c r="Y3" i="2"/>
  <c r="AM13" i="2"/>
  <c r="Y11" i="2"/>
  <c r="W8" i="2"/>
  <c r="AB6" i="2"/>
  <c r="AD4" i="2"/>
  <c r="AU12" i="2"/>
  <c r="AR5" i="2"/>
  <c r="AU14" i="2"/>
  <c r="AE14" i="2"/>
  <c r="AN13" i="2"/>
  <c r="X13" i="2"/>
  <c r="AG12" i="2"/>
  <c r="AP11" i="2"/>
  <c r="Z11" i="2"/>
  <c r="AI10" i="2"/>
  <c r="AR9" i="2"/>
  <c r="AB9" i="2"/>
  <c r="AK8" i="2"/>
  <c r="Z8" i="2"/>
  <c r="AK7" i="2"/>
  <c r="X7" i="2"/>
  <c r="AK6" i="2"/>
  <c r="AC6" i="2"/>
  <c r="AT5" i="2"/>
  <c r="AL5" i="2"/>
  <c r="AD5" i="2"/>
  <c r="AU4" i="2"/>
  <c r="AM4" i="2"/>
  <c r="AE4" i="2"/>
  <c r="W4" i="2"/>
  <c r="AN3" i="2"/>
  <c r="AF3" i="2"/>
  <c r="X3" i="2"/>
  <c r="AD14" i="2"/>
  <c r="W13" i="2"/>
  <c r="AF12" i="2"/>
  <c r="AQ9" i="2"/>
  <c r="AJ8" i="2"/>
  <c r="AJ6" i="2"/>
  <c r="AS5" i="2"/>
  <c r="AL4" i="2"/>
  <c r="AE3" i="2"/>
  <c r="AC14" i="2"/>
  <c r="AE12" i="2"/>
  <c r="X11" i="2"/>
  <c r="AP9" i="2"/>
  <c r="AI8" i="2"/>
  <c r="AT6" i="2"/>
  <c r="AA6" i="2"/>
  <c r="AB5" i="2"/>
  <c r="AK4" i="2"/>
  <c r="AT3" i="2"/>
  <c r="AD3" i="2"/>
  <c r="S56" i="2"/>
  <c r="V56" i="2" s="1"/>
  <c r="N83" i="2"/>
  <c r="K110" i="2" s="1"/>
  <c r="M89" i="2"/>
  <c r="J116" i="2" s="1"/>
  <c r="R62" i="2"/>
  <c r="T62" i="2" s="1"/>
  <c r="Q62" i="2"/>
  <c r="S53" i="2"/>
  <c r="V53" i="2" s="1"/>
  <c r="N80" i="2"/>
  <c r="K107" i="2" s="1"/>
  <c r="R52" i="2"/>
  <c r="T52" i="2" s="1"/>
  <c r="M79" i="2"/>
  <c r="J106" i="2" s="1"/>
  <c r="S50" i="2"/>
  <c r="V50" i="2" s="1"/>
  <c r="N77" i="2"/>
  <c r="K104" i="2" s="1"/>
  <c r="K52" i="2"/>
  <c r="AB45" i="2" l="1" a="1"/>
  <c r="AB45" i="2" s="1"/>
  <c r="S52" i="2"/>
  <c r="V52" i="2" s="1"/>
  <c r="N79" i="2"/>
  <c r="K10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tc={ADA535BE-532D-CF4B-A640-06CCFD32932F}</author>
    <author>tc={54EDFD4F-D9EC-3E4D-AA18-2AF1DA4003BA}</author>
  </authors>
  <commentList>
    <comment ref="A45" authorId="0" shapeId="0" xr:uid="{ADA535BE-532D-CF4B-A640-06CCFD3293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  <comment ref="A56" authorId="1" shapeId="0" xr:uid="{54EDFD4F-D9EC-3E4D-AA18-2AF1DA4003B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Alimentación, Rp y costo fijo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27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27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ID#AAAAkqiZkt8
Marco Arru    (2022-12-01 22:37:35)
Valor arbitrario usado en balances anteriores</t>
        </r>
      </text>
    </comment>
    <comment ref="G33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tc={B9BF3067-A02D-284C-8E1D-98E95C448D15}</author>
    <author>tc={C6D14D42-EF26-244F-BB13-4897D772E679}</author>
    <author>tc={044DC794-C8A0-D64F-B063-3FAF60D3E383}</author>
  </authors>
  <commentList>
    <comment ref="AQ14" authorId="0" shapeId="0" xr:uid="{B9BF3067-A02D-284C-8E1D-98E95C448D1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J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<sst xmlns="http://schemas.openxmlformats.org/spreadsheetml/2006/main" count="606" uniqueCount="292">
  <si>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</si>
  <si>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</si>
  <si>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</si>
  <si>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</si>
  <si>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</si>
  <si>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</si>
  <si>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</si>
  <si>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</si>
  <si>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</si>
  <si>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</si>
  <si>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</si>
  <si>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</si>
  <si>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</si>
  <si>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</si>
  <si>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</si>
  <si>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</si>
  <si>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</si>
  <si>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</si>
  <si>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</si>
  <si>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</si>
  <si>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</si>
  <si>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</si>
  <si>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</si>
  <si>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</si>
  <si>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</si>
  <si>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</si>
  <si>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</si>
  <si>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</si>
  <si>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</si>
  <si>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</si>
  <si>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</si>
  <si>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</si>
  <si>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</si>
  <si>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</si>
  <si>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</si>
  <si>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</si>
  <si>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</si>
  <si>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</si>
  <si>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</si>
  <si>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</si>
  <si>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</si>
  <si>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</si>
  <si>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</si>
  <si>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</si>
  <si>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</si>
  <si>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</si>
  <si>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</si>
  <si>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</si>
  <si>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</si>
  <si>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</si>
  <si>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</si>
  <si>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</si>
  <si>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</si>
  <si>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</si>
  <si>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</si>
  <si>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</si>
  <si>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</si>
  <si>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</si>
  <si>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</si>
  <si>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</si>
  <si>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</si>
  <si>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</si>
  <si>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</si>
  <si>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</si>
  <si>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</si>
  <si>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</si>
  <si>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</si>
  <si>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</si>
  <si>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</si>
  <si>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</si>
  <si>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</si>
  <si>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</si>
  <si>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</si>
  <si>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</si>
  <si>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</si>
  <si>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</si>
  <si>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</si>
  <si>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</si>
  <si>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</si>
  <si>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</si>
  <si>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</si>
  <si>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</si>
  <si>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</si>
  <si>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</si>
  <si>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</si>
  <si>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</si>
  <si>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</si>
  <si>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</si>
  <si>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</si>
  <si>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</si>
  <si>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</si>
  <si>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</si>
  <si>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</si>
  <si>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</si>
  <si>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</si>
  <si>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</si>
  <si>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</si>
  <si>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</si>
  <si>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</si>
  <si>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</si>
  <si>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</si>
  <si>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</si>
  <si>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</si>
  <si>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</si>
  <si>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</si>
  <si>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</si>
  <si>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</si>
  <si>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</si>
  <si>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</si>
  <si>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</si>
  <si>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</si>
  <si>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</si>
  <si>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</si>
  <si>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</si>
  <si>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</si>
  <si>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</si>
  <si>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</si>
  <si>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</si>
  <si>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</si>
  <si>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Emisario Submarino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</si>
  <si>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</si>
  <si>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</si>
  <si>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</si>
  <si>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</si>
  <si>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</si>
  <si>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</si>
  <si>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</si>
  <si>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</si>
  <si>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</si>
  <si>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</si>
  <si>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</si>
  <si>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</si>
  <si>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</si>
  <si>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</si>
  <si>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</si>
  <si>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</si>
  <si>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</si>
  <si>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</si>
  <si>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</si>
  <si>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</si>
  <si>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</si>
  <si>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</si>
  <si>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</si>
  <si>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</si>
  <si>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</si>
  <si>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</si>
  <si>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</si>
  <si>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</si>
  <si>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</si>
  <si>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</si>
  <si>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</si>
  <si>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</si>
  <si>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</si>
  <si>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</si>
  <si>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</si>
  <si>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</si>
  <si>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</si>
  <si>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</si>
  <si>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</si>
  <si>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</si>
  <si>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</si>
  <si>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</si>
  <si>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</si>
  <si>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</si>
  <si>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</si>
  <si>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</si>
  <si>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</si>
  <si>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</si>
  <si>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</si>
  <si>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</si>
  <si>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</si>
  <si>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</si>
  <si>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</si>
  <si>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</si>
  <si>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Silos</t>
  </si>
  <si>
    <t>A Preconcentrado</t>
  </si>
  <si>
    <t>TK Filtrado</t>
  </si>
  <si>
    <t>Pila de emergencia</t>
  </si>
  <si>
    <t>Chips</t>
  </si>
  <si>
    <t>Finos</t>
  </si>
  <si>
    <t>Derrames Molienda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</si>
  <si>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</si>
  <si>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</si>
  <si>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</si>
  <si>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</si>
  <si>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</si>
  <si>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</si>
  <si>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</si>
  <si>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</si>
  <si>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</si>
  <si>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</si>
  <si>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</si>
  <si>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</si>
  <si>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</si>
  <si>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</si>
  <si>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</si>
  <si>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</si>
  <si>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</si>
  <si>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</si>
  <si>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</si>
  <si>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</si>
  <si>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</si>
  <si>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</si>
  <si>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</si>
  <si>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</si>
  <si>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</si>
  <si>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</si>
  <si>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</si>
  <si>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</si>
  <si>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</si>
  <si>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</si>
  <si>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</si>
  <si>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</si>
  <si>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</si>
  <si>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</si>
  <si>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</si>
  <si>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</si>
  <si>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</si>
  <si>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</si>
  <si>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</si>
  <si>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</si>
  <si>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</si>
  <si>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</si>
  <si>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</si>
  <si>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</si>
  <si>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</si>
  <si>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</si>
  <si>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</si>
  <si>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</si>
  <si>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</si>
  <si>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</si>
  <si>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</si>
  <si>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</si>
  <si>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</si>
  <si>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</si>
  <si>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</si>
  <si>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</si>
  <si>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</si>
  <si>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</si>
  <si>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</si>
  <si>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</si>
  <si>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</si>
  <si>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</si>
  <si>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</si>
  <si>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</si>
  <si>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</si>
  <si>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</si>
  <si>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</si>
  <si>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</si>
  <si>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</si>
  <si>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</si>
  <si>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</si>
  <si>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</si>
  <si>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</si>
  <si>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</si>
  <si>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</si>
  <si>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</si>
  <si>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</si>
  <si>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</si>
  <si>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</si>
  <si>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</si>
  <si>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</si>
  <si>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</si>
  <si>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</si>
  <si>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</si>
  <si>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</si>
  <si>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</si>
  <si>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</si>
  <si>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</si>
  <si>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</si>
  <si>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</si>
  <si>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</si>
  <si>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</si>
  <si>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</si>
  <si>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</si>
  <si>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</si>
  <si>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</si>
  <si>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</si>
  <si>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</si>
  <si>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</si>
  <si>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</si>
  <si>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</si>
  <si>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Preconcentrado Inicial Final TMH</t>
  </si>
  <si>
    <t>Sinter Inicial Final TMH</t>
  </si>
  <si>
    <t>Silos Inicial Final TMH</t>
  </si>
  <si>
    <t>TK Filtrado Inicial Final TMH</t>
  </si>
  <si>
    <t>Pellet Feed Inicial Final TMH</t>
  </si>
  <si>
    <t>Pila de emergencia Inicial Final TMH</t>
  </si>
  <si>
    <t>Pellet Producto Inicial Final TMH</t>
  </si>
  <si>
    <t>Chips Inicial Final TMH</t>
  </si>
  <si>
    <t>Finos Inicial Final TMH</t>
  </si>
  <si>
    <t>Derrames Molienda Inicial Final TMH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</si>
</sst>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"/>
      <family val="2"/>
      <scheme val="minor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</fonts>
  <fills count="2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39" fillId="0" borderId="0" applyFont="0" applyFill="0" applyBorder="0" applyAlignment="0" applyProtection="0"/>
    <xf numFmtId="0" fontId="38" fillId="0" borderId="68"/>
    <xf numFmtId="174" fontId="38" fillId="0" borderId="68" applyFont="0" applyFill="0" applyBorder="0" applyAlignment="0" applyProtection="0"/>
    <xf numFmtId="9" fontId="38" fillId="0" borderId="68" applyFont="0" applyFill="0" applyBorder="0" applyAlignment="0" applyProtection="0"/>
    <xf numFmtId="0" fontId="38" fillId="0" borderId="68"/>
    <xf numFmtId="9" fontId="38" fillId="0" borderId="68" applyFont="0" applyFill="0" applyBorder="0" applyAlignment="0" applyProtection="0"/>
  </cellStyleXfs>
  <cellXfs count="60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3" fillId="0" borderId="0" xfId="0" applyFont="1"/>
    <xf numFmtId="10" fontId="1" fillId="11" borderId="4" xfId="0" applyNumberFormat="1" applyFont="1" applyFill="1" applyBorder="1"/>
    <xf numFmtId="0" fontId="33" fillId="11" borderId="4" xfId="0" applyFont="1" applyFill="1" applyBorder="1"/>
    <xf numFmtId="0" fontId="34" fillId="11" borderId="4" xfId="0" applyFont="1" applyFill="1" applyBorder="1"/>
    <xf numFmtId="0" fontId="34" fillId="11" borderId="4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10" fontId="33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3" fillId="11" borderId="4" xfId="0" applyNumberFormat="1" applyFont="1" applyFill="1" applyBorder="1"/>
    <xf numFmtId="164" fontId="33" fillId="11" borderId="4" xfId="0" applyNumberFormat="1" applyFont="1" applyFill="1" applyBorder="1"/>
    <xf numFmtId="3" fontId="35" fillId="11" borderId="4" xfId="0" applyNumberFormat="1" applyFont="1" applyFill="1" applyBorder="1" applyAlignment="1">
      <alignment horizontal="center" vertical="center"/>
    </xf>
    <xf numFmtId="0" fontId="36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3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2" applyFont="1" applyBorder="1"/>
    <xf numFmtId="0" fontId="1" fillId="0" borderId="45" xfId="2" applyFont="1" applyBorder="1"/>
    <xf numFmtId="0" fontId="1" fillId="0" borderId="46" xfId="2" applyFont="1" applyBorder="1"/>
    <xf numFmtId="0" fontId="38" fillId="0" borderId="68" xfId="2"/>
    <xf numFmtId="0" fontId="1" fillId="0" borderId="31" xfId="2" applyFont="1" applyBorder="1"/>
    <xf numFmtId="0" fontId="1" fillId="0" borderId="68" xfId="2" applyFont="1"/>
    <xf numFmtId="0" fontId="6" fillId="0" borderId="68" xfId="2" applyFont="1"/>
    <xf numFmtId="0" fontId="6" fillId="0" borderId="73" xfId="2" applyFont="1" applyBorder="1"/>
    <xf numFmtId="174" fontId="6" fillId="0" borderId="73" xfId="3" applyFont="1" applyBorder="1"/>
    <xf numFmtId="0" fontId="1" fillId="0" borderId="21" xfId="2" applyFont="1" applyBorder="1"/>
    <xf numFmtId="0" fontId="1" fillId="17" borderId="31" xfId="2" applyFont="1" applyFill="1" applyBorder="1"/>
    <xf numFmtId="14" fontId="8" fillId="17" borderId="68" xfId="2" applyNumberFormat="1" applyFont="1" applyFill="1"/>
    <xf numFmtId="0" fontId="1" fillId="17" borderId="68" xfId="2" applyFont="1" applyFill="1"/>
    <xf numFmtId="3" fontId="9" fillId="0" borderId="68" xfId="2" applyNumberFormat="1" applyFont="1" applyAlignment="1">
      <alignment horizontal="left"/>
    </xf>
    <xf numFmtId="0" fontId="3" fillId="0" borderId="73" xfId="2" applyFont="1" applyBorder="1" applyAlignment="1">
      <alignment horizontal="center"/>
    </xf>
    <xf numFmtId="3" fontId="9" fillId="0" borderId="68" xfId="2" applyNumberFormat="1" applyFont="1"/>
    <xf numFmtId="0" fontId="40" fillId="0" borderId="68" xfId="2" applyFont="1" applyAlignment="1">
      <alignment horizontal="center"/>
    </xf>
    <xf numFmtId="10" fontId="15" fillId="0" borderId="68" xfId="2" applyNumberFormat="1" applyFont="1" applyAlignment="1">
      <alignment horizontal="left"/>
    </xf>
    <xf numFmtId="3" fontId="14" fillId="0" borderId="73" xfId="2" applyNumberFormat="1" applyFont="1" applyBorder="1" applyAlignment="1">
      <alignment horizontal="center"/>
    </xf>
    <xf numFmtId="10" fontId="15" fillId="0" borderId="68" xfId="2" applyNumberFormat="1" applyFont="1"/>
    <xf numFmtId="0" fontId="40" fillId="0" borderId="73" xfId="2" applyFont="1" applyBorder="1" applyAlignment="1">
      <alignment horizontal="center"/>
    </xf>
    <xf numFmtId="0" fontId="6" fillId="0" borderId="68" xfId="2" applyFont="1" applyAlignment="1">
      <alignment horizontal="center"/>
    </xf>
    <xf numFmtId="3" fontId="16" fillId="0" borderId="68" xfId="2" applyNumberFormat="1" applyFont="1" applyAlignment="1">
      <alignment horizontal="left"/>
    </xf>
    <xf numFmtId="3" fontId="42" fillId="0" borderId="68" xfId="2" applyNumberFormat="1" applyFont="1"/>
    <xf numFmtId="3" fontId="16" fillId="0" borderId="68" xfId="2" applyNumberFormat="1" applyFont="1"/>
    <xf numFmtId="174" fontId="43" fillId="0" borderId="68" xfId="2" applyNumberFormat="1" applyFont="1"/>
    <xf numFmtId="0" fontId="38" fillId="0" borderId="75" xfId="2" applyBorder="1" applyAlignment="1">
      <alignment horizontal="left"/>
    </xf>
    <xf numFmtId="0" fontId="38" fillId="0" borderId="76" xfId="2" applyBorder="1" applyAlignment="1">
      <alignment horizontal="left"/>
    </xf>
    <xf numFmtId="0" fontId="38" fillId="0" borderId="77" xfId="2" applyBorder="1" applyAlignment="1">
      <alignment horizontal="left"/>
    </xf>
    <xf numFmtId="174" fontId="0" fillId="0" borderId="73" xfId="3" applyFont="1" applyFill="1" applyBorder="1" applyAlignment="1">
      <alignment horizontal="center"/>
    </xf>
    <xf numFmtId="10" fontId="0" fillId="0" borderId="73" xfId="4" applyNumberFormat="1" applyFont="1" applyFill="1" applyBorder="1" applyAlignment="1">
      <alignment horizontal="center"/>
    </xf>
    <xf numFmtId="174" fontId="0" fillId="0" borderId="73" xfId="3" applyFont="1" applyBorder="1" applyAlignment="1">
      <alignment horizontal="center"/>
    </xf>
    <xf numFmtId="10" fontId="0" fillId="18" borderId="73" xfId="4" applyNumberFormat="1" applyFont="1" applyFill="1" applyBorder="1" applyAlignment="1">
      <alignment horizontal="center"/>
    </xf>
    <xf numFmtId="174" fontId="0" fillId="18" borderId="73" xfId="3" applyFont="1" applyFill="1" applyBorder="1" applyAlignment="1">
      <alignment horizontal="center"/>
    </xf>
    <xf numFmtId="0" fontId="38" fillId="0" borderId="73" xfId="2" applyBorder="1"/>
    <xf numFmtId="174" fontId="0" fillId="18" borderId="73" xfId="3" applyFont="1" applyFill="1" applyBorder="1"/>
    <xf numFmtId="174" fontId="0" fillId="0" borderId="73" xfId="3" applyFont="1" applyBorder="1"/>
    <xf numFmtId="3" fontId="9" fillId="0" borderId="68" xfId="2" applyNumberFormat="1" applyFont="1" applyAlignment="1">
      <alignment horizontal="right"/>
    </xf>
    <xf numFmtId="10" fontId="15" fillId="0" borderId="68" xfId="2" applyNumberFormat="1" applyFont="1" applyAlignment="1">
      <alignment horizontal="right"/>
    </xf>
    <xf numFmtId="174" fontId="1" fillId="0" borderId="73" xfId="2" applyNumberFormat="1" applyFont="1" applyBorder="1"/>
    <xf numFmtId="3" fontId="16" fillId="0" borderId="68" xfId="2" applyNumberFormat="1" applyFont="1" applyAlignment="1">
      <alignment horizontal="right"/>
    </xf>
    <xf numFmtId="0" fontId="1" fillId="19" borderId="68" xfId="2" applyFont="1" applyFill="1" applyAlignment="1">
      <alignment horizontal="right"/>
    </xf>
    <xf numFmtId="1" fontId="6" fillId="0" borderId="68" xfId="2" applyNumberFormat="1" applyFont="1" applyAlignment="1">
      <alignment horizontal="left"/>
    </xf>
    <xf numFmtId="0" fontId="3" fillId="0" borderId="68" xfId="2" applyFont="1"/>
    <xf numFmtId="174" fontId="6" fillId="0" borderId="68" xfId="2" applyNumberFormat="1" applyFont="1" applyAlignment="1">
      <alignment horizontal="left" vertical="center"/>
    </xf>
    <xf numFmtId="0" fontId="50" fillId="0" borderId="68" xfId="2" applyFont="1" applyAlignment="1">
      <alignment horizontal="right" indent="1"/>
    </xf>
    <xf numFmtId="3" fontId="51" fillId="0" borderId="73" xfId="2" applyNumberFormat="1" applyFont="1" applyBorder="1" applyAlignment="1">
      <alignment horizontal="center"/>
    </xf>
    <xf numFmtId="174" fontId="6" fillId="0" borderId="68" xfId="2" applyNumberFormat="1" applyFont="1" applyAlignment="1">
      <alignment horizontal="left" indent="3"/>
    </xf>
    <xf numFmtId="1" fontId="6" fillId="0" borderId="68" xfId="2" applyNumberFormat="1" applyFont="1" applyAlignment="1">
      <alignment horizontal="left" indent="3"/>
    </xf>
    <xf numFmtId="174" fontId="1" fillId="0" borderId="68" xfId="2" applyNumberFormat="1" applyFont="1"/>
    <xf numFmtId="3" fontId="52" fillId="0" borderId="68" xfId="2" applyNumberFormat="1" applyFont="1"/>
    <xf numFmtId="0" fontId="40" fillId="0" borderId="73" xfId="2" applyFont="1" applyBorder="1"/>
    <xf numFmtId="0" fontId="6" fillId="0" borderId="73" xfId="2" applyFont="1" applyBorder="1" applyAlignment="1">
      <alignment horizontal="center"/>
    </xf>
    <xf numFmtId="3" fontId="14" fillId="0" borderId="68" xfId="2" applyNumberFormat="1" applyFont="1"/>
    <xf numFmtId="1" fontId="6" fillId="0" borderId="68" xfId="2" applyNumberFormat="1" applyFont="1" applyAlignment="1">
      <alignment horizontal="center"/>
    </xf>
    <xf numFmtId="0" fontId="40" fillId="0" borderId="68" xfId="2" applyFont="1"/>
    <xf numFmtId="0" fontId="40" fillId="0" borderId="68" xfId="2" applyFont="1" applyAlignment="1">
      <alignment horizontal="right"/>
    </xf>
    <xf numFmtId="174" fontId="0" fillId="0" borderId="68" xfId="3" applyFont="1"/>
    <xf numFmtId="3" fontId="1" fillId="0" borderId="73" xfId="2" applyNumberFormat="1" applyFont="1" applyBorder="1"/>
    <xf numFmtId="10" fontId="1" fillId="0" borderId="73" xfId="4" applyNumberFormat="1" applyFont="1" applyBorder="1" applyAlignment="1">
      <alignment horizontal="center"/>
    </xf>
    <xf numFmtId="174" fontId="40" fillId="0" borderId="68" xfId="2" applyNumberFormat="1" applyFont="1"/>
    <xf numFmtId="3" fontId="38" fillId="0" borderId="68" xfId="2" applyNumberFormat="1"/>
    <xf numFmtId="10" fontId="1" fillId="0" borderId="68" xfId="2" applyNumberFormat="1" applyFont="1"/>
    <xf numFmtId="0" fontId="38" fillId="19" borderId="68" xfId="2" applyFill="1"/>
    <xf numFmtId="164" fontId="1" fillId="0" borderId="73" xfId="4" applyNumberFormat="1" applyFont="1" applyBorder="1" applyAlignment="1">
      <alignment horizontal="center"/>
    </xf>
    <xf numFmtId="3" fontId="51" fillId="0" borderId="68" xfId="2" applyNumberFormat="1" applyFont="1" applyAlignment="1">
      <alignment horizontal="right"/>
    </xf>
    <xf numFmtId="0" fontId="1" fillId="0" borderId="73" xfId="2" applyFont="1" applyBorder="1"/>
    <xf numFmtId="174" fontId="38" fillId="0" borderId="68" xfId="2" applyNumberFormat="1"/>
    <xf numFmtId="3" fontId="53" fillId="0" borderId="68" xfId="2" applyNumberFormat="1" applyFont="1" applyAlignment="1">
      <alignment horizontal="right"/>
    </xf>
    <xf numFmtId="176" fontId="1" fillId="0" borderId="73" xfId="2" applyNumberFormat="1" applyFont="1" applyBorder="1"/>
    <xf numFmtId="3" fontId="1" fillId="0" borderId="68" xfId="2" applyNumberFormat="1" applyFont="1"/>
    <xf numFmtId="1" fontId="38" fillId="0" borderId="68" xfId="2" applyNumberFormat="1"/>
    <xf numFmtId="3" fontId="44" fillId="0" borderId="68" xfId="2" applyNumberFormat="1" applyFont="1" applyAlignment="1">
      <alignment horizontal="center"/>
    </xf>
    <xf numFmtId="174" fontId="6" fillId="0" borderId="68" xfId="2" applyNumberFormat="1" applyFont="1"/>
    <xf numFmtId="10" fontId="54" fillId="0" borderId="68" xfId="2" applyNumberFormat="1" applyFont="1" applyAlignment="1">
      <alignment horizontal="left"/>
    </xf>
    <xf numFmtId="174" fontId="6" fillId="0" borderId="68" xfId="3" applyFont="1"/>
    <xf numFmtId="0" fontId="38" fillId="0" borderId="78" xfId="2" applyBorder="1" applyAlignment="1">
      <alignment horizontal="left"/>
    </xf>
    <xf numFmtId="0" fontId="38" fillId="0" borderId="79" xfId="2" applyBorder="1" applyAlignment="1">
      <alignment horizontal="left"/>
    </xf>
    <xf numFmtId="0" fontId="38" fillId="0" borderId="80" xfId="2" applyBorder="1" applyAlignment="1">
      <alignment horizontal="left"/>
    </xf>
    <xf numFmtId="174" fontId="0" fillId="18" borderId="81" xfId="3" applyFont="1" applyFill="1" applyBorder="1" applyAlignment="1">
      <alignment horizontal="center"/>
    </xf>
    <xf numFmtId="3" fontId="9" fillId="0" borderId="68" xfId="2" applyNumberFormat="1" applyFont="1" applyAlignment="1">
      <alignment horizontal="center"/>
    </xf>
    <xf numFmtId="3" fontId="55" fillId="0" borderId="68" xfId="2" applyNumberFormat="1" applyFont="1" applyAlignment="1">
      <alignment horizontal="center"/>
    </xf>
    <xf numFmtId="164" fontId="1" fillId="0" borderId="68" xfId="4" applyNumberFormat="1" applyFont="1"/>
    <xf numFmtId="0" fontId="40" fillId="0" borderId="84" xfId="2" applyFont="1" applyBorder="1" applyAlignment="1">
      <alignment horizontal="center"/>
    </xf>
    <xf numFmtId="10" fontId="15" fillId="20" borderId="68" xfId="2" applyNumberFormat="1" applyFont="1" applyFill="1" applyAlignment="1">
      <alignment horizontal="center"/>
    </xf>
    <xf numFmtId="177" fontId="38" fillId="0" borderId="68" xfId="2" applyNumberFormat="1"/>
    <xf numFmtId="0" fontId="38" fillId="0" borderId="85" xfId="2" applyBorder="1" applyAlignment="1">
      <alignment horizontal="left"/>
    </xf>
    <xf numFmtId="0" fontId="38" fillId="0" borderId="74" xfId="2" applyBorder="1" applyAlignment="1">
      <alignment horizontal="left"/>
    </xf>
    <xf numFmtId="0" fontId="38" fillId="0" borderId="86" xfId="2" applyBorder="1" applyAlignment="1">
      <alignment horizontal="left"/>
    </xf>
    <xf numFmtId="174" fontId="0" fillId="18" borderId="87" xfId="3" applyFont="1" applyFill="1" applyBorder="1" applyAlignment="1">
      <alignment horizontal="center"/>
    </xf>
    <xf numFmtId="10" fontId="0" fillId="18" borderId="87" xfId="4" applyNumberFormat="1" applyFont="1" applyFill="1" applyBorder="1" applyAlignment="1">
      <alignment horizontal="center"/>
    </xf>
    <xf numFmtId="174" fontId="0" fillId="0" borderId="87" xfId="3" applyFont="1" applyBorder="1" applyAlignment="1">
      <alignment horizontal="center"/>
    </xf>
    <xf numFmtId="3" fontId="16" fillId="0" borderId="68" xfId="2" applyNumberFormat="1" applyFont="1" applyAlignment="1">
      <alignment horizontal="center"/>
    </xf>
    <xf numFmtId="0" fontId="38" fillId="0" borderId="68" xfId="2" applyAlignment="1">
      <alignment horizontal="center"/>
    </xf>
    <xf numFmtId="3" fontId="51" fillId="0" borderId="68" xfId="2" applyNumberFormat="1" applyFont="1" applyAlignment="1">
      <alignment horizontal="center"/>
    </xf>
    <xf numFmtId="3" fontId="53" fillId="0" borderId="68" xfId="2" applyNumberFormat="1" applyFont="1" applyAlignment="1">
      <alignment horizontal="center"/>
    </xf>
    <xf numFmtId="3" fontId="44" fillId="0" borderId="68" xfId="2" applyNumberFormat="1" applyFont="1" applyAlignment="1">
      <alignment horizontal="left"/>
    </xf>
    <xf numFmtId="1" fontId="38" fillId="0" borderId="73" xfId="2" applyNumberFormat="1" applyBorder="1"/>
    <xf numFmtId="1" fontId="56" fillId="0" borderId="68" xfId="3" applyNumberFormat="1" applyFont="1" applyAlignment="1">
      <alignment horizontal="left"/>
    </xf>
    <xf numFmtId="2" fontId="38" fillId="0" borderId="68" xfId="2" applyNumberFormat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" fontId="38" fillId="18" borderId="73" xfId="2" applyNumberFormat="1" applyFill="1" applyBorder="1"/>
    <xf numFmtId="1" fontId="0" fillId="0" borderId="68" xfId="3" applyNumberFormat="1" applyFont="1" applyAlignment="1">
      <alignment horizontal="left"/>
    </xf>
    <xf numFmtId="0" fontId="38" fillId="18" borderId="73" xfId="2" applyFill="1" applyBorder="1"/>
    <xf numFmtId="3" fontId="14" fillId="0" borderId="68" xfId="2" applyNumberFormat="1" applyFont="1" applyAlignment="1">
      <alignment horizontal="left"/>
    </xf>
    <xf numFmtId="10" fontId="0" fillId="0" borderId="68" xfId="4" applyNumberFormat="1" applyFont="1"/>
    <xf numFmtId="1" fontId="38" fillId="0" borderId="68" xfId="2" applyNumberFormat="1" applyAlignment="1">
      <alignment horizontal="left"/>
    </xf>
    <xf numFmtId="3" fontId="40" fillId="0" borderId="68" xfId="2" applyNumberFormat="1" applyFont="1"/>
    <xf numFmtId="10" fontId="15" fillId="0" borderId="68" xfId="2" applyNumberFormat="1" applyFont="1" applyAlignment="1">
      <alignment horizontal="center"/>
    </xf>
    <xf numFmtId="10" fontId="38" fillId="0" borderId="68" xfId="2" applyNumberFormat="1"/>
    <xf numFmtId="174" fontId="38" fillId="0" borderId="73" xfId="2" applyNumberFormat="1" applyBorder="1"/>
    <xf numFmtId="174" fontId="38" fillId="0" borderId="73" xfId="3" applyFont="1" applyBorder="1"/>
    <xf numFmtId="1" fontId="56" fillId="0" borderId="68" xfId="2" applyNumberFormat="1" applyFont="1" applyAlignment="1">
      <alignment horizontal="left"/>
    </xf>
    <xf numFmtId="9" fontId="9" fillId="0" borderId="68" xfId="4" applyFont="1" applyAlignment="1">
      <alignment horizontal="left"/>
    </xf>
    <xf numFmtId="0" fontId="1" fillId="0" borderId="22" xfId="2" applyFont="1" applyBorder="1"/>
    <xf numFmtId="0" fontId="1" fillId="0" borderId="23" xfId="2" applyFont="1" applyBorder="1"/>
    <xf numFmtId="0" fontId="1" fillId="0" borderId="24" xfId="2" applyFont="1" applyBorder="1"/>
    <xf numFmtId="0" fontId="38" fillId="17" borderId="68" xfId="2" applyFill="1"/>
    <xf numFmtId="0" fontId="9" fillId="0" borderId="68" xfId="2" applyFont="1"/>
    <xf numFmtId="0" fontId="58" fillId="16" borderId="7" xfId="2" applyFont="1" applyFill="1" applyBorder="1" applyAlignment="1">
      <alignment horizontal="center" vertical="center" wrapText="1"/>
    </xf>
    <xf numFmtId="0" fontId="58" fillId="16" borderId="1" xfId="2" applyFont="1" applyFill="1" applyBorder="1" applyAlignment="1">
      <alignment horizontal="center" vertical="center" wrapText="1"/>
    </xf>
    <xf numFmtId="0" fontId="58" fillId="16" borderId="15" xfId="2" applyFont="1" applyFill="1" applyBorder="1" applyAlignment="1">
      <alignment horizontal="center" vertical="center" wrapText="1"/>
    </xf>
    <xf numFmtId="0" fontId="58" fillId="16" borderId="17" xfId="2" applyFont="1" applyFill="1" applyBorder="1" applyAlignment="1">
      <alignment horizontal="center" vertical="center" wrapText="1"/>
    </xf>
    <xf numFmtId="0" fontId="58" fillId="16" borderId="8" xfId="2" applyFont="1" applyFill="1" applyBorder="1" applyAlignment="1">
      <alignment horizontal="center" vertical="center" wrapText="1"/>
    </xf>
    <xf numFmtId="0" fontId="58" fillId="16" borderId="73" xfId="2" applyFont="1" applyFill="1" applyBorder="1" applyAlignment="1">
      <alignment horizontal="center" vertical="center" wrapText="1"/>
    </xf>
    <xf numFmtId="174" fontId="6" fillId="0" borderId="7" xfId="3" applyFont="1" applyBorder="1" applyAlignment="1">
      <alignment horizontal="left"/>
    </xf>
    <xf numFmtId="174" fontId="1" fillId="0" borderId="72" xfId="3" applyFont="1" applyFill="1" applyBorder="1" applyAlignment="1">
      <alignment horizontal="center"/>
    </xf>
    <xf numFmtId="174" fontId="37" fillId="0" borderId="72" xfId="3" applyFont="1" applyFill="1" applyBorder="1" applyAlignment="1">
      <alignment horizontal="center"/>
    </xf>
    <xf numFmtId="3" fontId="1" fillId="0" borderId="72" xfId="2" applyNumberFormat="1" applyFont="1" applyBorder="1" applyAlignment="1">
      <alignment horizontal="center"/>
    </xf>
    <xf numFmtId="3" fontId="1" fillId="0" borderId="69" xfId="2" applyNumberFormat="1" applyFont="1" applyBorder="1" applyAlignment="1">
      <alignment horizontal="center"/>
    </xf>
    <xf numFmtId="3" fontId="1" fillId="0" borderId="30" xfId="2" applyNumberFormat="1" applyFont="1" applyBorder="1" applyAlignment="1">
      <alignment horizontal="center"/>
    </xf>
    <xf numFmtId="3" fontId="1" fillId="0" borderId="61" xfId="2" applyNumberFormat="1" applyFont="1" applyBorder="1" applyAlignment="1">
      <alignment horizontal="center"/>
    </xf>
    <xf numFmtId="3" fontId="37" fillId="18" borderId="71" xfId="2" applyNumberFormat="1" applyFont="1" applyFill="1" applyBorder="1" applyAlignment="1">
      <alignment horizontal="center"/>
    </xf>
    <xf numFmtId="3" fontId="37" fillId="0" borderId="72" xfId="2" applyNumberFormat="1" applyFont="1" applyBorder="1" applyAlignment="1">
      <alignment horizontal="center"/>
    </xf>
    <xf numFmtId="3" fontId="6" fillId="0" borderId="1" xfId="2" applyNumberFormat="1" applyFont="1" applyBorder="1" applyAlignment="1">
      <alignment horizontal="center"/>
    </xf>
    <xf numFmtId="2" fontId="1" fillId="0" borderId="7" xfId="2" applyNumberFormat="1" applyFont="1" applyBorder="1" applyAlignment="1">
      <alignment horizontal="center"/>
    </xf>
    <xf numFmtId="1" fontId="6" fillId="0" borderId="73" xfId="2" applyNumberFormat="1" applyFont="1" applyBorder="1" applyAlignment="1">
      <alignment horizontal="center"/>
    </xf>
    <xf numFmtId="10" fontId="10" fillId="0" borderId="68" xfId="2" applyNumberFormat="1" applyFont="1"/>
    <xf numFmtId="1" fontId="1" fillId="0" borderId="68" xfId="2" applyNumberFormat="1" applyFont="1"/>
    <xf numFmtId="174" fontId="1" fillId="0" borderId="1" xfId="3" applyFont="1" applyFill="1" applyBorder="1" applyAlignment="1">
      <alignment horizontal="center"/>
    </xf>
    <xf numFmtId="3" fontId="1" fillId="0" borderId="1" xfId="2" applyNumberFormat="1" applyFont="1" applyBorder="1" applyAlignment="1">
      <alignment horizontal="center"/>
    </xf>
    <xf numFmtId="3" fontId="1" fillId="0" borderId="7" xfId="2" applyNumberFormat="1" applyFont="1" applyBorder="1" applyAlignment="1">
      <alignment horizontal="center"/>
    </xf>
    <xf numFmtId="174" fontId="1" fillId="0" borderId="61" xfId="3" applyFont="1" applyFill="1" applyBorder="1" applyAlignment="1">
      <alignment horizontal="center"/>
    </xf>
    <xf numFmtId="3" fontId="5" fillId="0" borderId="61" xfId="2" applyNumberFormat="1" applyFont="1" applyBorder="1" applyAlignment="1">
      <alignment horizontal="center"/>
    </xf>
    <xf numFmtId="174" fontId="10" fillId="0" borderId="68" xfId="3" applyFont="1"/>
    <xf numFmtId="3" fontId="1" fillId="18" borderId="7" xfId="2" applyNumberFormat="1" applyFont="1" applyFill="1" applyBorder="1" applyAlignment="1">
      <alignment horizontal="center"/>
    </xf>
    <xf numFmtId="3" fontId="1" fillId="21" borderId="30" xfId="2" applyNumberFormat="1" applyFont="1" applyFill="1" applyBorder="1" applyAlignment="1">
      <alignment horizontal="center"/>
    </xf>
    <xf numFmtId="3" fontId="1" fillId="21" borderId="61" xfId="2" applyNumberFormat="1" applyFont="1" applyFill="1" applyBorder="1" applyAlignment="1">
      <alignment horizontal="center"/>
    </xf>
    <xf numFmtId="3" fontId="1" fillId="21" borderId="72" xfId="2" applyNumberFormat="1" applyFont="1" applyFill="1" applyBorder="1" applyAlignment="1">
      <alignment horizontal="center"/>
    </xf>
    <xf numFmtId="3" fontId="6" fillId="21" borderId="1" xfId="2" applyNumberFormat="1" applyFont="1" applyFill="1" applyBorder="1" applyAlignment="1">
      <alignment horizontal="center"/>
    </xf>
    <xf numFmtId="2" fontId="1" fillId="21" borderId="7" xfId="2" applyNumberFormat="1" applyFont="1" applyFill="1" applyBorder="1" applyAlignment="1">
      <alignment horizontal="center"/>
    </xf>
    <xf numFmtId="1" fontId="6" fillId="21" borderId="73" xfId="2" applyNumberFormat="1" applyFont="1" applyFill="1" applyBorder="1" applyAlignment="1">
      <alignment horizontal="center"/>
    </xf>
    <xf numFmtId="174" fontId="1" fillId="0" borderId="68" xfId="3" applyFont="1"/>
    <xf numFmtId="174" fontId="1" fillId="0" borderId="30" xfId="3" applyFont="1" applyFill="1" applyBorder="1" applyAlignment="1">
      <alignment horizontal="center"/>
    </xf>
    <xf numFmtId="3" fontId="1" fillId="18" borderId="1" xfId="2" applyNumberFormat="1" applyFont="1" applyFill="1" applyBorder="1" applyAlignment="1">
      <alignment horizontal="center"/>
    </xf>
    <xf numFmtId="3" fontId="1" fillId="18" borderId="72" xfId="2" applyNumberFormat="1" applyFont="1" applyFill="1" applyBorder="1" applyAlignment="1">
      <alignment horizontal="center"/>
    </xf>
    <xf numFmtId="0" fontId="1" fillId="0" borderId="68" xfId="2" applyFont="1" applyAlignment="1">
      <alignment horizontal="left"/>
    </xf>
    <xf numFmtId="3" fontId="6" fillId="0" borderId="27" xfId="2" applyNumberFormat="1" applyFont="1" applyBorder="1" applyAlignment="1">
      <alignment horizontal="center"/>
    </xf>
    <xf numFmtId="3" fontId="6" fillId="0" borderId="44" xfId="2" applyNumberFormat="1" applyFont="1" applyBorder="1" applyAlignment="1">
      <alignment horizontal="center"/>
    </xf>
    <xf numFmtId="0" fontId="1" fillId="0" borderId="68" xfId="2" applyFont="1" applyAlignment="1">
      <alignment horizontal="center"/>
    </xf>
    <xf numFmtId="3" fontId="1" fillId="0" borderId="68" xfId="2" applyNumberFormat="1" applyFont="1" applyAlignment="1">
      <alignment horizontal="center"/>
    </xf>
    <xf numFmtId="3" fontId="6" fillId="0" borderId="73" xfId="2" applyNumberFormat="1" applyFont="1" applyBorder="1" applyAlignment="1">
      <alignment horizontal="center"/>
    </xf>
    <xf numFmtId="3" fontId="5" fillId="0" borderId="68" xfId="2" applyNumberFormat="1" applyFont="1" applyAlignment="1">
      <alignment horizontal="center"/>
    </xf>
    <xf numFmtId="0" fontId="45" fillId="22" borderId="73" xfId="2" applyFont="1" applyFill="1" applyBorder="1" applyAlignment="1">
      <alignment horizontal="center"/>
    </xf>
    <xf numFmtId="0" fontId="45" fillId="22" borderId="73" xfId="2" applyFont="1" applyFill="1" applyBorder="1" applyAlignment="1">
      <alignment horizontal="center" wrapText="1"/>
    </xf>
    <xf numFmtId="0" fontId="40" fillId="22" borderId="75" xfId="2" applyFont="1" applyFill="1" applyBorder="1" applyAlignment="1">
      <alignment horizontal="left"/>
    </xf>
    <xf numFmtId="0" fontId="40" fillId="22" borderId="77" xfId="2" applyFont="1" applyFill="1" applyBorder="1" applyAlignment="1">
      <alignment horizontal="left"/>
    </xf>
    <xf numFmtId="174" fontId="1" fillId="0" borderId="73" xfId="3" applyFont="1" applyBorder="1"/>
    <xf numFmtId="177" fontId="1" fillId="0" borderId="68" xfId="2" applyNumberFormat="1" applyFont="1"/>
    <xf numFmtId="178" fontId="6" fillId="0" borderId="73" xfId="3" applyNumberFormat="1" applyFont="1" applyBorder="1"/>
    <xf numFmtId="164" fontId="0" fillId="0" borderId="73" xfId="3" applyNumberFormat="1" applyFont="1" applyBorder="1"/>
    <xf numFmtId="2" fontId="38" fillId="0" borderId="68" xfId="2" applyNumberFormat="1" applyAlignment="1">
      <alignment horizontal="right"/>
    </xf>
    <xf numFmtId="164" fontId="0" fillId="0" borderId="73" xfId="4" applyNumberFormat="1" applyFont="1" applyBorder="1"/>
    <xf numFmtId="9" fontId="0" fillId="0" borderId="73" xfId="4" applyFont="1" applyBorder="1"/>
    <xf numFmtId="0" fontId="6" fillId="0" borderId="68" xfId="2" applyFont="1" applyAlignment="1">
      <alignment horizontal="right"/>
    </xf>
    <xf numFmtId="179" fontId="6" fillId="0" borderId="73" xfId="2" applyNumberFormat="1" applyFont="1" applyBorder="1"/>
    <xf numFmtId="2" fontId="1" fillId="0" borderId="68" xfId="2" applyNumberFormat="1" applyFont="1"/>
    <xf numFmtId="0" fontId="60" fillId="23" borderId="0" xfId="0" applyFont="1" applyFill="1"/>
    <xf numFmtId="10" fontId="60" fillId="23" borderId="0" xfId="0" applyNumberFormat="1" applyFont="1" applyFill="1"/>
    <xf numFmtId="10" fontId="60" fillId="11" borderId="4" xfId="0" applyNumberFormat="1" applyFont="1" applyFill="1" applyBorder="1"/>
    <xf numFmtId="0" fontId="60" fillId="11" borderId="4" xfId="0" applyFont="1" applyFill="1" applyBorder="1"/>
    <xf numFmtId="0" fontId="61" fillId="11" borderId="4" xfId="0" applyFont="1" applyFill="1" applyBorder="1"/>
    <xf numFmtId="3" fontId="60" fillId="11" borderId="4" xfId="0" applyNumberFormat="1" applyFont="1" applyFill="1" applyBorder="1"/>
    <xf numFmtId="164" fontId="60" fillId="11" borderId="4" xfId="0" applyNumberFormat="1" applyFont="1" applyFill="1" applyBorder="1"/>
    <xf numFmtId="0" fontId="38" fillId="0" borderId="0" xfId="0" applyFont="1"/>
    <xf numFmtId="0" fontId="38" fillId="0" borderId="0" xfId="0" applyFont="1" applyAlignment="1">
      <alignment horizontal="left"/>
    </xf>
    <xf numFmtId="0" fontId="38" fillId="0" borderId="73" xfId="0" applyFont="1" applyBorder="1" applyAlignment="1">
      <alignment horizontal="left"/>
    </xf>
    <xf numFmtId="10" fontId="62" fillId="0" borderId="73" xfId="0" applyNumberFormat="1" applyFont="1" applyBorder="1"/>
    <xf numFmtId="10" fontId="62" fillId="17" borderId="73" xfId="0" applyNumberFormat="1" applyFont="1" applyFill="1" applyBorder="1"/>
    <xf numFmtId="10" fontId="0" fillId="18" borderId="73" xfId="1" applyNumberFormat="1" applyFont="1" applyFill="1" applyBorder="1" applyAlignment="1">
      <alignment horizontal="center"/>
    </xf>
    <xf numFmtId="10" fontId="0" fillId="0" borderId="73" xfId="1" applyNumberFormat="1" applyFont="1" applyFill="1" applyBorder="1" applyAlignment="1">
      <alignment horizontal="center"/>
    </xf>
    <xf numFmtId="10" fontId="38" fillId="0" borderId="81" xfId="1" applyNumberFormat="1" applyFont="1" applyFill="1" applyBorder="1" applyAlignment="1">
      <alignment horizontal="center"/>
    </xf>
    <xf numFmtId="10" fontId="62" fillId="0" borderId="81" xfId="0" applyNumberFormat="1" applyFont="1" applyBorder="1"/>
    <xf numFmtId="0" fontId="20" fillId="15" borderId="14" xfId="0" applyFont="1" applyFill="1" applyBorder="1"/>
    <xf numFmtId="1" fontId="19" fillId="0" borderId="14" xfId="0" applyNumberFormat="1" applyFont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" fontId="19" fillId="0" borderId="73" xfId="0" applyNumberFormat="1" applyFont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3" applyNumberFormat="1" applyFont="1" applyBorder="1" applyAlignment="1">
      <alignment horizontal="center"/>
    </xf>
    <xf numFmtId="3" fontId="6" fillId="0" borderId="68" xfId="0" applyNumberFormat="1" applyFont="1" applyBorder="1"/>
    <xf numFmtId="0" fontId="64" fillId="0" borderId="73" xfId="2" applyFont="1" applyBorder="1" applyAlignment="1">
      <alignment horizontal="right"/>
    </xf>
    <xf numFmtId="0" fontId="64" fillId="0" borderId="73" xfId="0" applyFont="1" applyBorder="1" applyAlignment="1">
      <alignment horizontal="right"/>
    </xf>
    <xf numFmtId="10" fontId="64" fillId="0" borderId="73" xfId="2" applyNumberFormat="1" applyFont="1" applyBorder="1" applyAlignment="1">
      <alignment horizontal="right"/>
    </xf>
    <xf numFmtId="0" fontId="64" fillId="0" borderId="73" xfId="5" applyFont="1" applyBorder="1" applyAlignment="1">
      <alignment horizontal="right"/>
    </xf>
    <xf numFmtId="3" fontId="65" fillId="0" borderId="73" xfId="0" applyNumberFormat="1" applyFont="1" applyBorder="1" applyAlignment="1">
      <alignment horizontal="right"/>
    </xf>
    <xf numFmtId="10" fontId="64" fillId="0" borderId="73" xfId="0" applyNumberFormat="1" applyFont="1" applyBorder="1" applyAlignment="1">
      <alignment horizontal="right"/>
    </xf>
    <xf numFmtId="10" fontId="0" fillId="18" borderId="73" xfId="3" applyNumberFormat="1" applyFont="1" applyFill="1" applyBorder="1"/>
    <xf numFmtId="167" fontId="0" fillId="18" borderId="73" xfId="3" applyNumberFormat="1" applyFont="1" applyFill="1" applyBorder="1"/>
    <xf numFmtId="0" fontId="64" fillId="17" borderId="73" xfId="5" applyFont="1" applyFill="1" applyBorder="1"/>
    <xf numFmtId="3" fontId="66" fillId="17" borderId="73" xfId="5" applyNumberFormat="1" applyFont="1" applyFill="1" applyBorder="1" applyAlignment="1">
      <alignment horizontal="center"/>
    </xf>
    <xf numFmtId="10" fontId="64" fillId="17" borderId="73" xfId="0" applyNumberFormat="1" applyFont="1" applyFill="1" applyBorder="1"/>
    <xf numFmtId="0" fontId="67" fillId="24" borderId="73" xfId="5" applyFont="1" applyFill="1" applyBorder="1"/>
    <xf numFmtId="174" fontId="64" fillId="24" borderId="73" xfId="3" applyFont="1" applyFill="1" applyBorder="1"/>
    <xf numFmtId="9" fontId="64" fillId="24" borderId="73" xfId="6" applyFont="1" applyFill="1" applyBorder="1"/>
    <xf numFmtId="178" fontId="64" fillId="24" borderId="73" xfId="3" applyNumberFormat="1" applyFont="1" applyFill="1" applyBorder="1" applyAlignment="1"/>
    <xf numFmtId="0" fontId="67" fillId="24" borderId="73" xfId="5" applyFont="1" applyFill="1" applyBorder="1" applyAlignment="1">
      <alignment horizontal="left"/>
    </xf>
    <xf numFmtId="2" fontId="64" fillId="24" borderId="73" xfId="5" applyNumberFormat="1" applyFont="1" applyFill="1" applyBorder="1"/>
    <xf numFmtId="10" fontId="64" fillId="24" borderId="73" xfId="0" applyNumberFormat="1" applyFont="1" applyFill="1" applyBorder="1"/>
    <xf numFmtId="2" fontId="64" fillId="24" borderId="73" xfId="5" applyNumberFormat="1" applyFont="1" applyFill="1" applyBorder="1" applyAlignment="1">
      <alignment horizontal="right"/>
    </xf>
    <xf numFmtId="1" fontId="44" fillId="0" borderId="68" xfId="2" applyNumberFormat="1" applyFont="1" applyAlignment="1">
      <alignment horizontal="left"/>
    </xf>
    <xf numFmtId="0" fontId="45" fillId="0" borderId="68" xfId="2" applyFont="1" applyAlignment="1">
      <alignment horizontal="center" vertical="center"/>
    </xf>
    <xf numFmtId="0" fontId="46" fillId="0" borderId="68" xfId="2" applyFont="1" applyAlignment="1">
      <alignment horizontal="left" vertical="center"/>
    </xf>
    <xf numFmtId="3" fontId="47" fillId="0" borderId="68" xfId="2" applyNumberFormat="1" applyFont="1" applyProtection="1">
      <protection locked="0"/>
    </xf>
    <xf numFmtId="3" fontId="48" fillId="0" borderId="68" xfId="2" applyNumberFormat="1" applyFont="1"/>
    <xf numFmtId="0" fontId="46" fillId="0" borderId="68" xfId="2" applyFont="1"/>
    <xf numFmtId="0" fontId="46" fillId="0" borderId="68" xfId="2" applyFont="1" applyAlignment="1">
      <alignment horizontal="right"/>
    </xf>
    <xf numFmtId="3" fontId="49" fillId="0" borderId="68" xfId="2" applyNumberFormat="1" applyFont="1"/>
    <xf numFmtId="0" fontId="46" fillId="0" borderId="68" xfId="2" applyFont="1" applyAlignment="1">
      <alignment horizontal="center"/>
    </xf>
    <xf numFmtId="174" fontId="0" fillId="0" borderId="68" xfId="3" applyFont="1" applyFill="1" applyBorder="1"/>
    <xf numFmtId="10" fontId="0" fillId="0" borderId="68" xfId="4" applyNumberFormat="1" applyFont="1" applyFill="1" applyBorder="1"/>
    <xf numFmtId="174" fontId="38" fillId="0" borderId="68" xfId="3" applyFont="1" applyFill="1" applyBorder="1"/>
    <xf numFmtId="175" fontId="38" fillId="0" borderId="68" xfId="2" applyNumberFormat="1"/>
    <xf numFmtId="0" fontId="38" fillId="17" borderId="75" xfId="2" applyFill="1" applyBorder="1" applyAlignment="1">
      <alignment horizontal="left"/>
    </xf>
    <xf numFmtId="0" fontId="38" fillId="17" borderId="76" xfId="2" applyFill="1" applyBorder="1" applyAlignment="1">
      <alignment horizontal="left"/>
    </xf>
    <xf numFmtId="0" fontId="38" fillId="17" borderId="77" xfId="2" applyFill="1" applyBorder="1" applyAlignment="1">
      <alignment horizontal="left"/>
    </xf>
    <xf numFmtId="0" fontId="21" fillId="12" borderId="18" xfId="2" applyFont="1" applyFill="1" applyBorder="1" applyAlignment="1">
      <alignment horizontal="center" vertical="center"/>
    </xf>
    <xf numFmtId="0" fontId="21" fillId="12" borderId="45" xfId="2" applyFont="1" applyFill="1" applyBorder="1" applyAlignment="1">
      <alignment horizontal="center" vertical="center"/>
    </xf>
    <xf numFmtId="0" fontId="21" fillId="0" borderId="45" xfId="2" applyFont="1" applyBorder="1"/>
    <xf numFmtId="0" fontId="21" fillId="0" borderId="46" xfId="2" applyFont="1" applyBorder="1"/>
    <xf numFmtId="0" fontId="21" fillId="12" borderId="31" xfId="2" applyFont="1" applyFill="1" applyBorder="1" applyAlignment="1">
      <alignment horizontal="center" vertical="center"/>
    </xf>
    <xf numFmtId="0" fontId="21" fillId="12" borderId="68" xfId="2" applyFont="1" applyFill="1" applyAlignment="1">
      <alignment horizontal="center" vertical="center"/>
    </xf>
    <xf numFmtId="0" fontId="21" fillId="0" borderId="21" xfId="2" applyFont="1" applyBorder="1"/>
    <xf numFmtId="0" fontId="7" fillId="0" borderId="39" xfId="2" applyFont="1" applyBorder="1"/>
    <xf numFmtId="0" fontId="21" fillId="12" borderId="68" xfId="2" applyFont="1" applyFill="1"/>
    <xf numFmtId="14" fontId="21" fillId="12" borderId="68" xfId="2" applyNumberFormat="1" applyFont="1" applyFill="1"/>
    <xf numFmtId="0" fontId="21" fillId="0" borderId="31" xfId="2" applyFont="1" applyBorder="1"/>
    <xf numFmtId="0" fontId="23" fillId="0" borderId="68" xfId="2" applyFont="1"/>
    <xf numFmtId="0" fontId="24" fillId="12" borderId="16" xfId="2" applyFont="1" applyFill="1" applyBorder="1" applyAlignment="1">
      <alignment horizontal="center" vertical="center"/>
    </xf>
    <xf numFmtId="0" fontId="24" fillId="12" borderId="17" xfId="2" applyFont="1" applyFill="1" applyBorder="1" applyAlignment="1">
      <alignment horizontal="center" vertical="center"/>
    </xf>
    <xf numFmtId="0" fontId="7" fillId="0" borderId="71" xfId="2" applyFont="1" applyBorder="1"/>
    <xf numFmtId="0" fontId="24" fillId="12" borderId="28" xfId="2" applyFont="1" applyFill="1" applyBorder="1" applyAlignment="1">
      <alignment horizontal="center" vertical="center"/>
    </xf>
    <xf numFmtId="0" fontId="24" fillId="12" borderId="44" xfId="2" applyFont="1" applyFill="1" applyBorder="1" applyAlignment="1">
      <alignment horizontal="center" vertical="center"/>
    </xf>
    <xf numFmtId="166" fontId="23" fillId="0" borderId="1" xfId="2" applyNumberFormat="1" applyFont="1" applyBorder="1" applyAlignment="1">
      <alignment horizontal="center" vertical="center"/>
    </xf>
    <xf numFmtId="10" fontId="23" fillId="0" borderId="1" xfId="2" applyNumberFormat="1" applyFont="1" applyBorder="1" applyAlignment="1">
      <alignment horizontal="center" vertical="center"/>
    </xf>
    <xf numFmtId="166" fontId="23" fillId="12" borderId="13" xfId="2" applyNumberFormat="1" applyFont="1" applyFill="1" applyBorder="1" applyAlignment="1">
      <alignment horizontal="center" vertical="center"/>
    </xf>
    <xf numFmtId="166" fontId="23" fillId="0" borderId="16" xfId="2" applyNumberFormat="1" applyFont="1" applyBorder="1" applyAlignment="1">
      <alignment horizontal="center" vertical="center"/>
    </xf>
    <xf numFmtId="10" fontId="23" fillId="0" borderId="16" xfId="2" applyNumberFormat="1" applyFont="1" applyBorder="1" applyAlignment="1">
      <alignment horizontal="center" vertical="center"/>
    </xf>
    <xf numFmtId="166" fontId="23" fillId="0" borderId="14" xfId="2" applyNumberFormat="1" applyFont="1" applyBorder="1" applyAlignment="1">
      <alignment horizontal="center" vertical="center"/>
    </xf>
    <xf numFmtId="10" fontId="23" fillId="0" borderId="14" xfId="2" applyNumberFormat="1" applyFont="1" applyBorder="1" applyAlignment="1">
      <alignment horizontal="center" vertical="center"/>
    </xf>
    <xf numFmtId="0" fontId="7" fillId="0" borderId="51" xfId="2" applyFont="1" applyBorder="1"/>
    <xf numFmtId="0" fontId="23" fillId="0" borderId="22" xfId="2" applyFont="1" applyBorder="1" applyAlignment="1">
      <alignment horizontal="left" vertical="center"/>
    </xf>
    <xf numFmtId="0" fontId="23" fillId="0" borderId="23" xfId="2" applyFont="1" applyBorder="1" applyAlignment="1">
      <alignment horizontal="left" vertical="center"/>
    </xf>
    <xf numFmtId="0" fontId="23" fillId="0" borderId="41" xfId="2" applyFont="1" applyBorder="1" applyAlignment="1">
      <alignment horizontal="left" vertical="center"/>
    </xf>
    <xf numFmtId="166" fontId="23" fillId="0" borderId="52" xfId="2" applyNumberFormat="1" applyFont="1" applyBorder="1" applyAlignment="1">
      <alignment horizontal="center" vertical="center"/>
    </xf>
    <xf numFmtId="167" fontId="21" fillId="0" borderId="68" xfId="2" applyNumberFormat="1" applyFont="1"/>
    <xf numFmtId="0" fontId="7" fillId="0" borderId="53" xfId="2" applyFont="1" applyBorder="1"/>
    <xf numFmtId="166" fontId="24" fillId="10" borderId="54" xfId="2" applyNumberFormat="1" applyFont="1" applyFill="1" applyBorder="1" applyAlignment="1">
      <alignment horizontal="center" vertical="center" wrapText="1"/>
    </xf>
    <xf numFmtId="10" fontId="24" fillId="10" borderId="54" xfId="2" applyNumberFormat="1" applyFont="1" applyFill="1" applyBorder="1" applyAlignment="1">
      <alignment horizontal="center" vertical="center" wrapText="1"/>
    </xf>
    <xf numFmtId="168" fontId="21" fillId="0" borderId="68" xfId="2" applyNumberFormat="1" applyFont="1"/>
    <xf numFmtId="0" fontId="23" fillId="0" borderId="26" xfId="2" applyFont="1" applyBorder="1" applyAlignment="1">
      <alignment horizontal="left" vertical="center"/>
    </xf>
    <xf numFmtId="0" fontId="23" fillId="0" borderId="8" xfId="2" applyFont="1" applyBorder="1" applyAlignment="1">
      <alignment horizontal="left" vertical="center"/>
    </xf>
    <xf numFmtId="169" fontId="21" fillId="0" borderId="68" xfId="2" applyNumberFormat="1" applyFont="1"/>
    <xf numFmtId="166" fontId="24" fillId="10" borderId="54" xfId="2" applyNumberFormat="1" applyFont="1" applyFill="1" applyBorder="1" applyAlignment="1">
      <alignment horizontal="center" vertical="center"/>
    </xf>
    <xf numFmtId="10" fontId="24" fillId="10" borderId="54" xfId="2" applyNumberFormat="1" applyFont="1" applyFill="1" applyBorder="1" applyAlignment="1">
      <alignment horizontal="center" vertical="center"/>
    </xf>
    <xf numFmtId="166" fontId="24" fillId="10" borderId="57" xfId="2" applyNumberFormat="1" applyFont="1" applyFill="1" applyBorder="1" applyAlignment="1">
      <alignment horizontal="center" vertical="center"/>
    </xf>
    <xf numFmtId="0" fontId="26" fillId="0" borderId="68" xfId="2" applyFont="1"/>
    <xf numFmtId="0" fontId="4" fillId="0" borderId="68" xfId="2" applyFont="1"/>
    <xf numFmtId="170" fontId="27" fillId="0" borderId="68" xfId="2" applyNumberFormat="1" applyFont="1" applyAlignment="1">
      <alignment horizontal="center" vertical="center"/>
    </xf>
    <xf numFmtId="167" fontId="28" fillId="0" borderId="68" xfId="2" applyNumberFormat="1" applyFont="1" applyAlignment="1">
      <alignment horizontal="center" vertical="center"/>
    </xf>
    <xf numFmtId="166" fontId="28" fillId="0" borderId="68" xfId="2" applyNumberFormat="1" applyFont="1" applyAlignment="1">
      <alignment horizontal="center" vertical="center"/>
    </xf>
    <xf numFmtId="0" fontId="24" fillId="0" borderId="68" xfId="2" applyFont="1" applyAlignment="1">
      <alignment horizontal="left" vertical="center" wrapText="1"/>
    </xf>
    <xf numFmtId="166" fontId="25" fillId="0" borderId="68" xfId="2" applyNumberFormat="1" applyFont="1" applyAlignment="1">
      <alignment horizontal="center" vertical="center"/>
    </xf>
    <xf numFmtId="170" fontId="29" fillId="0" borderId="68" xfId="2" applyNumberFormat="1" applyFont="1" applyAlignment="1">
      <alignment horizontal="center" vertical="center"/>
    </xf>
    <xf numFmtId="166" fontId="29" fillId="0" borderId="68" xfId="2" applyNumberFormat="1" applyFont="1" applyAlignment="1">
      <alignment horizontal="center" vertical="center"/>
    </xf>
    <xf numFmtId="0" fontId="25" fillId="14" borderId="58" xfId="2" applyFont="1" applyFill="1" applyBorder="1" applyAlignment="1">
      <alignment horizontal="center" vertical="center"/>
    </xf>
    <xf numFmtId="0" fontId="25" fillId="14" borderId="54" xfId="2" applyFont="1" applyFill="1" applyBorder="1" applyAlignment="1">
      <alignment horizontal="center" vertical="center"/>
    </xf>
    <xf numFmtId="0" fontId="25" fillId="14" borderId="57" xfId="2" applyFont="1" applyFill="1" applyBorder="1" applyAlignment="1">
      <alignment horizontal="center" vertical="center"/>
    </xf>
    <xf numFmtId="0" fontId="25" fillId="14" borderId="59" xfId="2" applyFont="1" applyFill="1" applyBorder="1" applyAlignment="1">
      <alignment horizontal="center" vertical="center"/>
    </xf>
    <xf numFmtId="0" fontId="29" fillId="0" borderId="68" xfId="2" applyFont="1" applyAlignment="1">
      <alignment vertical="center"/>
    </xf>
    <xf numFmtId="0" fontId="25" fillId="0" borderId="68" xfId="2" applyFont="1" applyAlignment="1">
      <alignment vertical="center"/>
    </xf>
    <xf numFmtId="166" fontId="21" fillId="0" borderId="21" xfId="2" applyNumberFormat="1" applyFont="1" applyBorder="1"/>
    <xf numFmtId="166" fontId="23" fillId="0" borderId="72" xfId="2" applyNumberFormat="1" applyFont="1" applyBorder="1" applyAlignment="1">
      <alignment horizontal="center" vertical="center"/>
    </xf>
    <xf numFmtId="10" fontId="23" fillId="0" borderId="60" xfId="2" applyNumberFormat="1" applyFont="1" applyBorder="1" applyAlignment="1">
      <alignment horizontal="center" vertical="center"/>
    </xf>
    <xf numFmtId="166" fontId="23" fillId="12" borderId="69" xfId="2" applyNumberFormat="1" applyFont="1" applyFill="1" applyBorder="1" applyAlignment="1">
      <alignment horizontal="center" vertical="center"/>
    </xf>
    <xf numFmtId="166" fontId="23" fillId="0" borderId="12" xfId="2" applyNumberFormat="1" applyFont="1" applyBorder="1" applyAlignment="1">
      <alignment horizontal="center" vertical="center"/>
    </xf>
    <xf numFmtId="166" fontId="23" fillId="5" borderId="61" xfId="2" applyNumberFormat="1" applyFont="1" applyFill="1" applyBorder="1" applyAlignment="1">
      <alignment horizontal="center" vertical="center"/>
    </xf>
    <xf numFmtId="168" fontId="28" fillId="0" borderId="68" xfId="2" applyNumberFormat="1" applyFont="1" applyAlignment="1">
      <alignment horizontal="center" vertical="center"/>
    </xf>
    <xf numFmtId="167" fontId="27" fillId="0" borderId="68" xfId="2" applyNumberFormat="1" applyFont="1" applyAlignment="1">
      <alignment horizontal="center" vertical="center"/>
    </xf>
    <xf numFmtId="171" fontId="21" fillId="0" borderId="68" xfId="2" applyNumberFormat="1" applyFont="1"/>
    <xf numFmtId="0" fontId="23" fillId="0" borderId="47" xfId="2" applyFont="1" applyBorder="1" applyAlignment="1">
      <alignment vertical="center"/>
    </xf>
    <xf numFmtId="166" fontId="23" fillId="12" borderId="7" xfId="2" applyNumberFormat="1" applyFont="1" applyFill="1" applyBorder="1" applyAlignment="1">
      <alignment horizontal="center" vertical="center"/>
    </xf>
    <xf numFmtId="166" fontId="23" fillId="5" borderId="13" xfId="2" applyNumberFormat="1" applyFont="1" applyFill="1" applyBorder="1" applyAlignment="1">
      <alignment horizontal="center" vertical="center"/>
    </xf>
    <xf numFmtId="0" fontId="23" fillId="0" borderId="26" xfId="2" applyFont="1" applyBorder="1" applyAlignment="1">
      <alignment vertical="center"/>
    </xf>
    <xf numFmtId="0" fontId="23" fillId="0" borderId="8" xfId="2" applyFont="1" applyBorder="1" applyAlignment="1">
      <alignment vertical="center"/>
    </xf>
    <xf numFmtId="0" fontId="23" fillId="0" borderId="39" xfId="2" applyFont="1" applyBorder="1" applyAlignment="1">
      <alignment vertical="center"/>
    </xf>
    <xf numFmtId="166" fontId="23" fillId="0" borderId="37" xfId="2" applyNumberFormat="1" applyFont="1" applyBorder="1" applyAlignment="1">
      <alignment horizontal="center" vertical="center"/>
    </xf>
    <xf numFmtId="166" fontId="23" fillId="0" borderId="62" xfId="2" applyNumberFormat="1" applyFont="1" applyBorder="1" applyAlignment="1">
      <alignment horizontal="center" vertical="center"/>
    </xf>
    <xf numFmtId="166" fontId="23" fillId="5" borderId="63" xfId="2" applyNumberFormat="1" applyFont="1" applyFill="1" applyBorder="1" applyAlignment="1">
      <alignment horizontal="center" vertical="center"/>
    </xf>
    <xf numFmtId="166" fontId="23" fillId="0" borderId="28" xfId="2" applyNumberFormat="1" applyFont="1" applyBorder="1" applyAlignment="1">
      <alignment horizontal="center" vertical="center"/>
    </xf>
    <xf numFmtId="10" fontId="23" fillId="0" borderId="28" xfId="2" applyNumberFormat="1" applyFont="1" applyBorder="1" applyAlignment="1">
      <alignment horizontal="center" vertical="center"/>
    </xf>
    <xf numFmtId="166" fontId="23" fillId="12" borderId="64" xfId="2" applyNumberFormat="1" applyFont="1" applyFill="1" applyBorder="1" applyAlignment="1">
      <alignment horizontal="center" vertical="center"/>
    </xf>
    <xf numFmtId="166" fontId="24" fillId="10" borderId="65" xfId="2" applyNumberFormat="1" applyFont="1" applyFill="1" applyBorder="1" applyAlignment="1">
      <alignment horizontal="center" vertical="center"/>
    </xf>
    <xf numFmtId="166" fontId="24" fillId="10" borderId="29" xfId="2" applyNumberFormat="1" applyFont="1" applyFill="1" applyBorder="1" applyAlignment="1">
      <alignment horizontal="center" vertical="center"/>
    </xf>
    <xf numFmtId="0" fontId="21" fillId="0" borderId="55" xfId="2" applyFont="1" applyBorder="1"/>
    <xf numFmtId="3" fontId="30" fillId="0" borderId="68" xfId="2" applyNumberFormat="1" applyFont="1" applyAlignment="1">
      <alignment horizontal="right" vertical="center"/>
    </xf>
    <xf numFmtId="3" fontId="30" fillId="0" borderId="68" xfId="2" applyNumberFormat="1" applyFont="1" applyAlignment="1">
      <alignment horizontal="right"/>
    </xf>
    <xf numFmtId="172" fontId="30" fillId="0" borderId="68" xfId="2" applyNumberFormat="1" applyFont="1" applyAlignment="1">
      <alignment horizontal="center" vertical="center"/>
    </xf>
    <xf numFmtId="0" fontId="7" fillId="0" borderId="68" xfId="2" applyFont="1"/>
    <xf numFmtId="9" fontId="30" fillId="11" borderId="68" xfId="2" applyNumberFormat="1" applyFont="1" applyFill="1" applyAlignment="1">
      <alignment horizontal="center"/>
    </xf>
    <xf numFmtId="0" fontId="30" fillId="11" borderId="68" xfId="2" applyFont="1" applyFill="1" applyAlignment="1">
      <alignment horizontal="center"/>
    </xf>
    <xf numFmtId="164" fontId="7" fillId="0" borderId="68" xfId="2" applyNumberFormat="1" applyFont="1"/>
    <xf numFmtId="9" fontId="21" fillId="11" borderId="68" xfId="2" applyNumberFormat="1" applyFont="1" applyFill="1" applyAlignment="1">
      <alignment horizontal="center"/>
    </xf>
    <xf numFmtId="2" fontId="21" fillId="11" borderId="68" xfId="2" applyNumberFormat="1" applyFont="1" applyFill="1" applyAlignment="1">
      <alignment horizontal="center"/>
    </xf>
    <xf numFmtId="166" fontId="21" fillId="11" borderId="68" xfId="2" applyNumberFormat="1" applyFont="1" applyFill="1" applyAlignment="1">
      <alignment horizontal="center"/>
    </xf>
    <xf numFmtId="168" fontId="21" fillId="0" borderId="68" xfId="2" applyNumberFormat="1" applyFont="1" applyAlignment="1">
      <alignment horizontal="center" vertical="center"/>
    </xf>
    <xf numFmtId="9" fontId="21" fillId="0" borderId="68" xfId="2" applyNumberFormat="1" applyFont="1" applyAlignment="1">
      <alignment horizontal="center"/>
    </xf>
    <xf numFmtId="10" fontId="21" fillId="0" borderId="68" xfId="2" applyNumberFormat="1" applyFont="1" applyAlignment="1">
      <alignment horizontal="center"/>
    </xf>
    <xf numFmtId="166" fontId="21" fillId="0" borderId="68" xfId="2" applyNumberFormat="1" applyFont="1" applyAlignment="1">
      <alignment horizontal="center"/>
    </xf>
    <xf numFmtId="2" fontId="21" fillId="0" borderId="68" xfId="2" applyNumberFormat="1" applyFont="1" applyAlignment="1">
      <alignment horizontal="center"/>
    </xf>
    <xf numFmtId="0" fontId="21" fillId="0" borderId="22" xfId="2" applyFont="1" applyBorder="1"/>
    <xf numFmtId="0" fontId="21" fillId="0" borderId="23" xfId="2" applyFont="1" applyBorder="1"/>
    <xf numFmtId="0" fontId="21" fillId="0" borderId="24" xfId="2" applyFont="1" applyBorder="1"/>
    <xf numFmtId="10" fontId="21" fillId="0" borderId="68" xfId="2" applyNumberFormat="1" applyFont="1"/>
    <xf numFmtId="0" fontId="64" fillId="24" borderId="73" xfId="5" applyFont="1" applyFill="1" applyBorder="1"/>
    <xf numFmtId="3" fontId="66" fillId="24" borderId="73" xfId="5" applyNumberFormat="1" applyFont="1" applyFill="1" applyBorder="1" applyAlignment="1">
      <alignment horizontal="center"/>
    </xf>
    <xf numFmtId="0" fontId="64" fillId="17" borderId="73" xfId="5" applyFont="1" applyFill="1" applyBorder="1" applyAlignment="1">
      <alignment horizontal="left"/>
    </xf>
    <xf numFmtId="3" fontId="65" fillId="17" borderId="73" xfId="0" applyNumberFormat="1" applyFont="1" applyFill="1" applyBorder="1" applyAlignment="1">
      <alignment horizontal="left"/>
    </xf>
    <xf numFmtId="10" fontId="64" fillId="17" borderId="73" xfId="0" applyNumberFormat="1" applyFont="1" applyFill="1" applyBorder="1" applyAlignment="1">
      <alignment horizontal="left"/>
    </xf>
    <xf numFmtId="2" fontId="64" fillId="24" borderId="73" xfId="0" applyNumberFormat="1" applyFont="1" applyFill="1" applyBorder="1"/>
    <xf numFmtId="0" fontId="64" fillId="17" borderId="73" xfId="0" applyFont="1" applyFill="1" applyBorder="1" applyAlignment="1">
      <alignment horizontal="center"/>
    </xf>
    <xf numFmtId="0" fontId="63" fillId="0" borderId="73" xfId="0" applyFont="1" applyBorder="1"/>
    <xf numFmtId="10" fontId="63" fillId="0" borderId="73" xfId="0" applyNumberFormat="1" applyFont="1" applyBorder="1"/>
    <xf numFmtId="10" fontId="63" fillId="0" borderId="75" xfId="0" applyNumberFormat="1" applyFont="1" applyBorder="1"/>
    <xf numFmtId="0" fontId="63" fillId="0" borderId="73" xfId="0" applyFont="1" applyBorder="1" applyAlignment="1">
      <alignment horizontal="right"/>
    </xf>
    <xf numFmtId="0" fontId="3" fillId="0" borderId="68" xfId="2" applyFont="1" applyAlignment="1">
      <alignment horizontal="center"/>
    </xf>
    <xf numFmtId="3" fontId="14" fillId="0" borderId="68" xfId="2" applyNumberFormat="1" applyFont="1" applyAlignment="1">
      <alignment horizontal="center"/>
    </xf>
    <xf numFmtId="10" fontId="21" fillId="0" borderId="18" xfId="2" applyNumberFormat="1" applyFont="1" applyBorder="1" applyAlignment="1">
      <alignment horizontal="center" vertical="center"/>
    </xf>
    <xf numFmtId="0" fontId="7" fillId="0" borderId="45" xfId="2" applyFont="1" applyBorder="1"/>
    <xf numFmtId="0" fontId="7" fillId="0" borderId="46" xfId="2" applyFont="1" applyBorder="1"/>
    <xf numFmtId="0" fontId="7" fillId="0" borderId="22" xfId="2" applyFont="1" applyBorder="1"/>
    <xf numFmtId="0" fontId="7" fillId="0" borderId="23" xfId="2" applyFont="1" applyBorder="1"/>
    <xf numFmtId="0" fontId="7" fillId="0" borderId="24" xfId="2" applyFont="1" applyBorder="1"/>
    <xf numFmtId="164" fontId="21" fillId="0" borderId="18" xfId="2" applyNumberFormat="1" applyFont="1" applyBorder="1" applyAlignment="1">
      <alignment horizontal="center" vertical="center"/>
    </xf>
    <xf numFmtId="164" fontId="7" fillId="0" borderId="45" xfId="2" applyNumberFormat="1" applyFont="1" applyBorder="1"/>
    <xf numFmtId="164" fontId="7" fillId="0" borderId="46" xfId="2" applyNumberFormat="1" applyFont="1" applyBorder="1"/>
    <xf numFmtId="164" fontId="7" fillId="0" borderId="22" xfId="2" applyNumberFormat="1" applyFont="1" applyBorder="1"/>
    <xf numFmtId="164" fontId="7" fillId="0" borderId="23" xfId="2" applyNumberFormat="1" applyFont="1" applyBorder="1"/>
    <xf numFmtId="164" fontId="7" fillId="0" borderId="24" xfId="2" applyNumberFormat="1" applyFont="1" applyBorder="1"/>
    <xf numFmtId="0" fontId="23" fillId="0" borderId="47" xfId="2" applyFont="1" applyBorder="1" applyAlignment="1">
      <alignment vertical="center"/>
    </xf>
    <xf numFmtId="0" fontId="7" fillId="0" borderId="26" xfId="2" applyFont="1" applyBorder="1"/>
    <xf numFmtId="0" fontId="7" fillId="0" borderId="8" xfId="2" applyFont="1" applyBorder="1"/>
    <xf numFmtId="0" fontId="23" fillId="0" borderId="47" xfId="2" applyFont="1" applyBorder="1" applyAlignment="1">
      <alignment horizontal="left" vertical="center"/>
    </xf>
    <xf numFmtId="0" fontId="23" fillId="0" borderId="49" xfId="2" applyFont="1" applyBorder="1" applyAlignment="1">
      <alignment vertical="center"/>
    </xf>
    <xf numFmtId="0" fontId="7" fillId="0" borderId="50" xfId="2" applyFont="1" applyBorder="1"/>
    <xf numFmtId="0" fontId="7" fillId="0" borderId="51" xfId="2" applyFont="1" applyBorder="1"/>
    <xf numFmtId="0" fontId="24" fillId="10" borderId="58" xfId="2" applyFont="1" applyFill="1" applyBorder="1" applyAlignment="1">
      <alignment horizontal="left" vertical="center"/>
    </xf>
    <xf numFmtId="0" fontId="7" fillId="0" borderId="55" xfId="2" applyFont="1" applyBorder="1"/>
    <xf numFmtId="0" fontId="7" fillId="0" borderId="53" xfId="2" applyFont="1" applyBorder="1"/>
    <xf numFmtId="0" fontId="31" fillId="14" borderId="58" xfId="2" applyFont="1" applyFill="1" applyBorder="1" applyAlignment="1">
      <alignment horizontal="center" vertical="center"/>
    </xf>
    <xf numFmtId="0" fontId="7" fillId="0" borderId="56" xfId="2" applyFont="1" applyBorder="1"/>
    <xf numFmtId="0" fontId="32" fillId="14" borderId="58" xfId="2" applyFont="1" applyFill="1" applyBorder="1" applyAlignment="1">
      <alignment horizontal="center"/>
    </xf>
    <xf numFmtId="0" fontId="31" fillId="11" borderId="68" xfId="2" applyFont="1" applyFill="1" applyAlignment="1">
      <alignment horizontal="center"/>
    </xf>
    <xf numFmtId="0" fontId="7" fillId="0" borderId="68" xfId="2" applyFont="1"/>
    <xf numFmtId="0" fontId="23" fillId="0" borderId="43" xfId="2" applyFont="1" applyBorder="1" applyAlignment="1">
      <alignment vertical="center"/>
    </xf>
    <xf numFmtId="0" fontId="7" fillId="0" borderId="70" xfId="2" applyFont="1" applyBorder="1"/>
    <xf numFmtId="0" fontId="7" fillId="0" borderId="71" xfId="2" applyFont="1" applyBorder="1"/>
    <xf numFmtId="0" fontId="24" fillId="10" borderId="55" xfId="2" applyFont="1" applyFill="1" applyBorder="1" applyAlignment="1">
      <alignment horizontal="left" vertical="center" wrapText="1"/>
    </xf>
    <xf numFmtId="0" fontId="23" fillId="0" borderId="68" xfId="2" applyFont="1" applyAlignment="1">
      <alignment horizontal="left" vertical="center"/>
    </xf>
    <xf numFmtId="0" fontId="38" fillId="0" borderId="68" xfId="2"/>
    <xf numFmtId="0" fontId="24" fillId="0" borderId="68" xfId="2" applyFont="1" applyAlignment="1">
      <alignment horizontal="left" vertical="center" wrapText="1"/>
    </xf>
    <xf numFmtId="0" fontId="24" fillId="10" borderId="58" xfId="2" applyFont="1" applyFill="1" applyBorder="1" applyAlignment="1">
      <alignment horizontal="left" vertical="center" wrapText="1"/>
    </xf>
    <xf numFmtId="0" fontId="25" fillId="14" borderId="58" xfId="2" applyFont="1" applyFill="1" applyBorder="1" applyAlignment="1">
      <alignment horizontal="center" vertical="center"/>
    </xf>
    <xf numFmtId="0" fontId="25" fillId="14" borderId="9" xfId="2" applyFont="1" applyFill="1" applyBorder="1" applyAlignment="1">
      <alignment horizontal="center" vertical="center"/>
    </xf>
    <xf numFmtId="0" fontId="7" fillId="0" borderId="10" xfId="2" applyFont="1" applyBorder="1"/>
    <xf numFmtId="0" fontId="7" fillId="0" borderId="11" xfId="2" applyFont="1" applyBorder="1"/>
    <xf numFmtId="0" fontId="25" fillId="14" borderId="55" xfId="2" applyFont="1" applyFill="1" applyBorder="1" applyAlignment="1">
      <alignment horizontal="center" vertical="center"/>
    </xf>
    <xf numFmtId="0" fontId="25" fillId="14" borderId="45" xfId="2" applyFont="1" applyFill="1" applyBorder="1" applyAlignment="1">
      <alignment horizontal="center" vertical="center"/>
    </xf>
    <xf numFmtId="0" fontId="23" fillId="0" borderId="9" xfId="2" applyFont="1" applyBorder="1" applyAlignment="1">
      <alignment horizontal="left" vertical="center"/>
    </xf>
    <xf numFmtId="0" fontId="7" fillId="0" borderId="48" xfId="2" applyFont="1" applyBorder="1"/>
    <xf numFmtId="0" fontId="23" fillId="0" borderId="49" xfId="2" applyFont="1" applyBorder="1" applyAlignment="1">
      <alignment horizontal="left" vertical="center"/>
    </xf>
    <xf numFmtId="0" fontId="23" fillId="0" borderId="18" xfId="2" applyFont="1" applyBorder="1" applyAlignment="1">
      <alignment horizontal="center" vertical="center"/>
    </xf>
    <xf numFmtId="0" fontId="7" fillId="0" borderId="32" xfId="2" applyFont="1" applyBorder="1"/>
    <xf numFmtId="0" fontId="7" fillId="0" borderId="43" xfId="2" applyFont="1" applyBorder="1"/>
    <xf numFmtId="0" fontId="23" fillId="0" borderId="45" xfId="2" applyFont="1" applyBorder="1" applyAlignment="1">
      <alignment horizontal="center" vertical="center"/>
    </xf>
    <xf numFmtId="0" fontId="7" fillId="0" borderId="41" xfId="2" applyFont="1" applyBorder="1"/>
    <xf numFmtId="0" fontId="2" fillId="13" borderId="18" xfId="2" applyFont="1" applyFill="1" applyBorder="1" applyAlignment="1">
      <alignment horizontal="center"/>
    </xf>
    <xf numFmtId="0" fontId="7" fillId="0" borderId="31" xfId="2" applyFont="1" applyBorder="1"/>
    <xf numFmtId="0" fontId="7" fillId="0" borderId="34" xfId="2" applyFont="1" applyBorder="1"/>
    <xf numFmtId="49" fontId="22" fillId="13" borderId="33" xfId="2" applyNumberFormat="1" applyFont="1" applyFill="1" applyBorder="1" applyAlignment="1">
      <alignment horizontal="center" vertical="center" wrapText="1"/>
    </xf>
    <xf numFmtId="49" fontId="22" fillId="13" borderId="45" xfId="2" applyNumberFormat="1" applyFont="1" applyFill="1" applyBorder="1" applyAlignment="1">
      <alignment horizontal="center" vertical="center" wrapText="1"/>
    </xf>
    <xf numFmtId="0" fontId="7" fillId="0" borderId="69" xfId="2" applyFont="1" applyBorder="1"/>
    <xf numFmtId="0" fontId="7" fillId="0" borderId="36" xfId="2" applyFont="1" applyBorder="1"/>
    <xf numFmtId="49" fontId="22" fillId="13" borderId="37" xfId="2" applyNumberFormat="1" applyFont="1" applyFill="1" applyBorder="1" applyAlignment="1">
      <alignment horizontal="center" vertical="center" wrapText="1"/>
    </xf>
    <xf numFmtId="49" fontId="22" fillId="13" borderId="38" xfId="2" applyNumberFormat="1" applyFont="1" applyFill="1" applyBorder="1" applyAlignment="1">
      <alignment horizontal="center" vertical="center" wrapText="1"/>
    </xf>
    <xf numFmtId="0" fontId="7" fillId="0" borderId="38" xfId="2" applyFont="1" applyBorder="1"/>
    <xf numFmtId="0" fontId="7" fillId="0" borderId="39" xfId="2" applyFont="1" applyBorder="1"/>
    <xf numFmtId="0" fontId="7" fillId="0" borderId="42" xfId="2" applyFont="1" applyBorder="1"/>
    <xf numFmtId="165" fontId="22" fillId="13" borderId="37" xfId="2" applyNumberFormat="1" applyFont="1" applyFill="1" applyBorder="1" applyAlignment="1">
      <alignment horizontal="center" vertical="center" wrapText="1"/>
    </xf>
    <xf numFmtId="0" fontId="7" fillId="0" borderId="40" xfId="2" applyFont="1" applyBorder="1"/>
    <xf numFmtId="0" fontId="6" fillId="7" borderId="7" xfId="0" applyFont="1" applyFill="1" applyBorder="1" applyAlignment="1">
      <alignment horizontal="center"/>
    </xf>
    <xf numFmtId="0" fontId="7" fillId="0" borderId="8" xfId="0" applyFont="1" applyBorder="1"/>
    <xf numFmtId="0" fontId="8" fillId="2" borderId="9" xfId="0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center" vertical="center"/>
    </xf>
    <xf numFmtId="0" fontId="7" fillId="0" borderId="25" xfId="0" applyFont="1" applyBorder="1"/>
    <xf numFmtId="0" fontId="8" fillId="6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7" fillId="0" borderId="26" xfId="0" applyFont="1" applyBorder="1"/>
    <xf numFmtId="0" fontId="8" fillId="0" borderId="7" xfId="0" applyFont="1" applyBorder="1" applyAlignment="1">
      <alignment horizontal="left"/>
    </xf>
    <xf numFmtId="0" fontId="8" fillId="3" borderId="7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3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40" fillId="22" borderId="75" xfId="2" applyFont="1" applyFill="1" applyBorder="1" applyAlignment="1">
      <alignment horizontal="left"/>
    </xf>
    <xf numFmtId="0" fontId="40" fillId="22" borderId="77" xfId="2" applyFont="1" applyFill="1" applyBorder="1" applyAlignment="1">
      <alignment horizontal="left"/>
    </xf>
    <xf numFmtId="0" fontId="1" fillId="0" borderId="68" xfId="2" applyFont="1" applyAlignment="1">
      <alignment horizontal="center"/>
    </xf>
    <xf numFmtId="0" fontId="40" fillId="22" borderId="75" xfId="2" applyFont="1" applyFill="1" applyBorder="1" applyAlignment="1">
      <alignment horizontal="center"/>
    </xf>
    <xf numFmtId="0" fontId="40" fillId="22" borderId="76" xfId="2" applyFont="1" applyFill="1" applyBorder="1" applyAlignment="1">
      <alignment horizontal="center"/>
    </xf>
    <xf numFmtId="0" fontId="40" fillId="22" borderId="77" xfId="2" applyFont="1" applyFill="1" applyBorder="1" applyAlignment="1">
      <alignment horizontal="center"/>
    </xf>
    <xf numFmtId="0" fontId="1" fillId="0" borderId="7" xfId="2" applyFont="1" applyBorder="1" applyAlignment="1">
      <alignment horizontal="left"/>
    </xf>
    <xf numFmtId="0" fontId="38" fillId="0" borderId="75" xfId="2" applyBorder="1" applyAlignment="1">
      <alignment horizontal="center"/>
    </xf>
    <xf numFmtId="0" fontId="38" fillId="0" borderId="77" xfId="2" applyBorder="1" applyAlignment="1">
      <alignment horizontal="center"/>
    </xf>
    <xf numFmtId="0" fontId="40" fillId="0" borderId="75" xfId="2" applyFont="1" applyBorder="1" applyAlignment="1">
      <alignment horizontal="center"/>
    </xf>
    <xf numFmtId="0" fontId="40" fillId="0" borderId="77" xfId="2" applyFont="1" applyBorder="1" applyAlignment="1">
      <alignment horizontal="center"/>
    </xf>
    <xf numFmtId="0" fontId="6" fillId="0" borderId="70" xfId="2" applyFont="1" applyBorder="1" applyAlignment="1">
      <alignment horizontal="center"/>
    </xf>
    <xf numFmtId="0" fontId="57" fillId="0" borderId="70" xfId="2" applyFont="1" applyBorder="1"/>
    <xf numFmtId="0" fontId="57" fillId="0" borderId="68" xfId="2" applyFont="1"/>
    <xf numFmtId="0" fontId="58" fillId="16" borderId="7" xfId="2" applyFont="1" applyFill="1" applyBorder="1" applyAlignment="1">
      <alignment horizontal="center" vertical="center" wrapText="1"/>
    </xf>
    <xf numFmtId="0" fontId="59" fillId="0" borderId="8" xfId="2" applyFont="1" applyBorder="1"/>
    <xf numFmtId="0" fontId="40" fillId="0" borderId="68" xfId="2" applyFont="1" applyAlignment="1">
      <alignment horizontal="center"/>
    </xf>
    <xf numFmtId="0" fontId="40" fillId="0" borderId="74" xfId="2" applyFont="1" applyBorder="1" applyAlignment="1">
      <alignment horizontal="center"/>
    </xf>
    <xf numFmtId="0" fontId="40" fillId="0" borderId="76" xfId="2" applyFont="1" applyBorder="1" applyAlignment="1">
      <alignment horizontal="center"/>
    </xf>
    <xf numFmtId="0" fontId="41" fillId="0" borderId="68" xfId="2" applyFont="1" applyAlignment="1">
      <alignment horizontal="center"/>
    </xf>
    <xf numFmtId="0" fontId="38" fillId="0" borderId="75" xfId="2" applyBorder="1" applyAlignment="1">
      <alignment horizontal="left"/>
    </xf>
    <xf numFmtId="0" fontId="38" fillId="0" borderId="76" xfId="2" applyBorder="1" applyAlignment="1">
      <alignment horizontal="left"/>
    </xf>
    <xf numFmtId="0" fontId="38" fillId="0" borderId="77" xfId="2" applyBorder="1" applyAlignment="1">
      <alignment horizontal="left"/>
    </xf>
    <xf numFmtId="0" fontId="38" fillId="17" borderId="75" xfId="2" applyFill="1" applyBorder="1" applyAlignment="1">
      <alignment horizontal="left"/>
    </xf>
    <xf numFmtId="0" fontId="38" fillId="17" borderId="76" xfId="2" applyFill="1" applyBorder="1" applyAlignment="1">
      <alignment horizontal="left"/>
    </xf>
    <xf numFmtId="0" fontId="38" fillId="17" borderId="77" xfId="2" applyFill="1" applyBorder="1" applyAlignment="1">
      <alignment horizontal="left"/>
    </xf>
    <xf numFmtId="0" fontId="40" fillId="0" borderId="82" xfId="2" applyFont="1" applyBorder="1" applyAlignment="1">
      <alignment horizontal="center"/>
    </xf>
    <xf numFmtId="0" fontId="40" fillId="0" borderId="83" xfId="2" applyFont="1" applyBorder="1" applyAlignment="1">
      <alignment horizontal="center"/>
    </xf>
    <xf numFmtId="0" fontId="63" fillId="0" borderId="73" xfId="0" applyFont="1" applyBorder="1" applyAlignment="1">
      <alignment horizontal="left"/>
    </xf>
  </cellXfs>
  <cellStyles count="7">
    <cellStyle name="Comma [0] 2" xfId="3" xr:uid="{6664C865-785A-454E-94F0-070F105AEA6F}"/>
    <cellStyle name="Normal" xfId="0" builtinId="0"/>
    <cellStyle name="Normal 2" xfId="2" xr:uid="{95CB7956-251D-E74F-AB15-BC3AC02C52DF}"/>
    <cellStyle name="Normal 2 3" xfId="5" xr:uid="{558ED75A-DDF3-B94A-B72B-BD429E4F9C66}"/>
    <cellStyle name="Percent" xfId="1" builtinId="5"/>
    <cellStyle name="Percent 2" xfId="4" xr:uid="{8A321130-4F89-FB46-BC2B-0ADE3EDE2DCA}"/>
    <cellStyle name="Percent 2 2" xfId="6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59084" y="154081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61008" y="7675296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51438" y="5933758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60380" y="5048752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39754" y="3355065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278968" y="6622494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6208" y="7008977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63148" y="1511255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4436" y="1436505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0020" y="1505807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12931" y="5250740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5408" y="5314126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70062" y="8537266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ADA535BE-532D-CF4B-A640-06CCFD32932F}">
    <text xml:space="preserve">Zona ingreso de datos SAP inicial
</text>
  </threadedComment>
  <threadedComment ref="A56" dT="2023-07-14T19:41:54.80" personId="{2FB96F7D-002B-1741-A0C2-4B08301E104E}" id="{54EDFD4F-D9EC-3E4D-AA18-2AF1DA4003BA}">
    <text xml:space="preserve">Alimentación, Rp y costo fijo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B9BF3067-A02D-284C-8E1D-98E95C448D15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J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workbookViewId="0">
      <pane xSplit="3" ySplit="8" topLeftCell="D10" activePane="bottomRight" state="frozen"/>
      <selection pane="topRight" activeCell="D1" sqref="D1"/>
      <selection pane="bottomLeft" activeCell="A9" sqref="A9"/>
      <selection pane="bottomRight" activeCell="P4" sqref="P4:Q5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77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9"/>
      <c r="Q1" s="379"/>
      <c r="R1" s="380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81"/>
      <c r="C2" s="382"/>
      <c r="D2" s="537"/>
      <c r="E2" s="533"/>
      <c r="F2" s="540" t="s">
        <v>97</v>
      </c>
      <c r="G2" s="541"/>
      <c r="H2" s="489"/>
      <c r="I2" s="489"/>
      <c r="J2" s="489"/>
      <c r="K2" s="489"/>
      <c r="L2" s="489"/>
      <c r="M2" s="489"/>
      <c r="N2" s="489"/>
      <c r="O2" s="489"/>
      <c r="P2" s="489"/>
      <c r="Q2" s="490"/>
      <c r="R2" s="383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81"/>
      <c r="C3" s="382"/>
      <c r="D3" s="538"/>
      <c r="E3" s="539"/>
      <c r="F3" s="542"/>
      <c r="G3" s="516"/>
      <c r="H3" s="516"/>
      <c r="I3" s="516"/>
      <c r="J3" s="516"/>
      <c r="K3" s="516"/>
      <c r="L3" s="516"/>
      <c r="M3" s="516"/>
      <c r="N3" s="516"/>
      <c r="O3" s="516"/>
      <c r="P3" s="516"/>
      <c r="Q3" s="543"/>
      <c r="R3" s="383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81"/>
      <c r="C4" s="382"/>
      <c r="D4" s="538"/>
      <c r="E4" s="539"/>
      <c r="F4" s="544" t="s">
        <v>98</v>
      </c>
      <c r="G4" s="545"/>
      <c r="H4" s="546"/>
      <c r="I4" s="546"/>
      <c r="J4" s="546"/>
      <c r="K4" s="546"/>
      <c r="L4" s="547"/>
      <c r="M4" s="544" t="s">
        <v>99</v>
      </c>
      <c r="N4" s="545"/>
      <c r="O4" s="547"/>
      <c r="P4" s="549">
        <f ca="1">+Diagrama!C4</f>
        <v>45124</v>
      </c>
      <c r="Q4" s="550"/>
      <c r="R4" s="383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81"/>
      <c r="C5" s="382"/>
      <c r="D5" s="491"/>
      <c r="E5" s="536"/>
      <c r="F5" s="548"/>
      <c r="G5" s="492"/>
      <c r="H5" s="492"/>
      <c r="I5" s="492"/>
      <c r="J5" s="492"/>
      <c r="K5" s="492"/>
      <c r="L5" s="536"/>
      <c r="M5" s="548"/>
      <c r="N5" s="492"/>
      <c r="O5" s="536"/>
      <c r="P5" s="548"/>
      <c r="Q5" s="493"/>
      <c r="R5" s="38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81"/>
      <c r="C6" s="382"/>
      <c r="D6" s="385"/>
      <c r="E6" s="385"/>
      <c r="F6" s="385"/>
      <c r="G6" s="385"/>
      <c r="H6" s="385"/>
      <c r="I6" s="385"/>
      <c r="J6" s="385"/>
      <c r="K6" s="385"/>
      <c r="L6" s="385"/>
      <c r="M6" s="386"/>
      <c r="N6" s="386"/>
      <c r="O6" s="382"/>
      <c r="P6" s="133"/>
      <c r="Q6" s="133"/>
      <c r="R6" s="383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87"/>
      <c r="C7" s="388"/>
      <c r="D7" s="532"/>
      <c r="E7" s="489"/>
      <c r="F7" s="533"/>
      <c r="G7" s="389" t="s">
        <v>100</v>
      </c>
      <c r="H7" s="389" t="s">
        <v>100</v>
      </c>
      <c r="I7" s="389" t="s">
        <v>101</v>
      </c>
      <c r="J7" s="390" t="s">
        <v>102</v>
      </c>
      <c r="K7" s="535"/>
      <c r="L7" s="489"/>
      <c r="M7" s="533"/>
      <c r="N7" s="389" t="s">
        <v>100</v>
      </c>
      <c r="O7" s="389" t="s">
        <v>100</v>
      </c>
      <c r="P7" s="389" t="s">
        <v>101</v>
      </c>
      <c r="Q7" s="390" t="s">
        <v>102</v>
      </c>
      <c r="R7" s="38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87"/>
      <c r="C8" s="388"/>
      <c r="D8" s="534"/>
      <c r="E8" s="516"/>
      <c r="F8" s="517"/>
      <c r="G8" s="392" t="s">
        <v>277</v>
      </c>
      <c r="H8" s="392" t="s">
        <v>40</v>
      </c>
      <c r="I8" s="392" t="s">
        <v>103</v>
      </c>
      <c r="J8" s="393" t="s">
        <v>41</v>
      </c>
      <c r="K8" s="492"/>
      <c r="L8" s="492"/>
      <c r="M8" s="536"/>
      <c r="N8" s="392" t="s">
        <v>277</v>
      </c>
      <c r="O8" s="392" t="s">
        <v>40</v>
      </c>
      <c r="P8" s="392" t="s">
        <v>103</v>
      </c>
      <c r="Q8" s="393" t="s">
        <v>41</v>
      </c>
      <c r="R8" s="383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87"/>
      <c r="C9" s="388"/>
      <c r="D9" s="524" t="s">
        <v>68</v>
      </c>
      <c r="E9" s="525"/>
      <c r="F9" s="525"/>
      <c r="G9" s="525"/>
      <c r="H9" s="525"/>
      <c r="I9" s="525"/>
      <c r="J9" s="526"/>
      <c r="K9" s="528" t="s">
        <v>104</v>
      </c>
      <c r="L9" s="489"/>
      <c r="M9" s="489"/>
      <c r="N9" s="489"/>
      <c r="O9" s="489"/>
      <c r="P9" s="489"/>
      <c r="Q9" s="490"/>
      <c r="R9" s="383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87"/>
      <c r="C10" s="388" t="s">
        <v>105</v>
      </c>
      <c r="D10" s="503" t="s">
        <v>106</v>
      </c>
      <c r="E10" s="501"/>
      <c r="F10" s="502"/>
      <c r="G10" s="394">
        <f>+Diagrama!J76</f>
        <v>562148</v>
      </c>
      <c r="H10" s="394">
        <f>+G10*(1-Diagrama!AE10)</f>
        <v>557257.31239999994</v>
      </c>
      <c r="I10" s="395">
        <f>+Diagrama!I26</f>
        <v>0.60058766826488896</v>
      </c>
      <c r="J10" s="396">
        <f>I10*H10</f>
        <v>334681.86987787473</v>
      </c>
      <c r="K10" s="529" t="s">
        <v>107</v>
      </c>
      <c r="L10" s="525"/>
      <c r="M10" s="530"/>
      <c r="N10" s="397">
        <f>+Diagrama!I72</f>
        <v>201173</v>
      </c>
      <c r="O10" s="397">
        <f>+Diagrama!H40</f>
        <v>183369.18950000001</v>
      </c>
      <c r="P10" s="398">
        <f>+Diagrama!H41</f>
        <v>0.68834294588788836</v>
      </c>
      <c r="Q10" s="396">
        <f t="shared" ref="Q10:Q13" si="0">P10*O10</f>
        <v>126220.88808550446</v>
      </c>
      <c r="R10" s="38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87"/>
      <c r="C11" s="388"/>
      <c r="D11" s="503" t="s">
        <v>108</v>
      </c>
      <c r="E11" s="501"/>
      <c r="F11" s="502"/>
      <c r="G11" s="399">
        <v>0</v>
      </c>
      <c r="H11" s="399">
        <v>0</v>
      </c>
      <c r="I11" s="400">
        <v>0</v>
      </c>
      <c r="J11" s="396">
        <f t="shared" ref="J11" si="1">I11*H11</f>
        <v>0</v>
      </c>
      <c r="K11" s="503" t="s">
        <v>109</v>
      </c>
      <c r="L11" s="501"/>
      <c r="M11" s="502"/>
      <c r="N11" s="394">
        <f>+Diagrama!I70</f>
        <v>272690</v>
      </c>
      <c r="O11" s="394">
        <f>+Diagrama!P49</f>
        <v>271326.55</v>
      </c>
      <c r="P11" s="395">
        <f>+Diagrama!P50</f>
        <v>0.65535413283291699</v>
      </c>
      <c r="Q11" s="396">
        <f>P11*O11</f>
        <v>177814.97588979709</v>
      </c>
      <c r="R11" s="38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87"/>
      <c r="C12" s="388"/>
      <c r="D12" s="503" t="s">
        <v>110</v>
      </c>
      <c r="E12" s="501"/>
      <c r="F12" s="502"/>
      <c r="G12" s="399">
        <v>0</v>
      </c>
      <c r="H12" s="399">
        <v>0</v>
      </c>
      <c r="I12" s="400">
        <v>0</v>
      </c>
      <c r="J12" s="396">
        <v>0</v>
      </c>
      <c r="K12" s="503" t="s">
        <v>111</v>
      </c>
      <c r="L12" s="501"/>
      <c r="M12" s="502"/>
      <c r="N12" s="394">
        <f>+Diagrama!I71</f>
        <v>12559</v>
      </c>
      <c r="O12" s="394">
        <f>+Diagrama!R36</f>
        <v>12496.205</v>
      </c>
      <c r="P12" s="395">
        <f>+Diagrama!R37</f>
        <v>0.65535413283291699</v>
      </c>
      <c r="Q12" s="396">
        <f t="shared" si="0"/>
        <v>8189.4395914773613</v>
      </c>
      <c r="R12" s="38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87"/>
      <c r="C13" s="388"/>
      <c r="D13" s="531" t="s">
        <v>112</v>
      </c>
      <c r="E13" s="505"/>
      <c r="F13" s="506"/>
      <c r="G13" s="399">
        <v>0</v>
      </c>
      <c r="H13" s="399">
        <v>0</v>
      </c>
      <c r="I13" s="400">
        <v>0</v>
      </c>
      <c r="J13" s="396">
        <v>0</v>
      </c>
      <c r="K13" s="402" t="s">
        <v>113</v>
      </c>
      <c r="L13" s="403"/>
      <c r="M13" s="404"/>
      <c r="N13" s="405">
        <f>+Diagrama!I77</f>
        <v>239033</v>
      </c>
      <c r="O13" s="405">
        <f>+Diagrama!I77*(1-'Datos Extra'!D3)</f>
        <v>236547.05680000002</v>
      </c>
      <c r="P13" s="395">
        <f>+Diagrama!H5</f>
        <v>0.62970000000000004</v>
      </c>
      <c r="Q13" s="396">
        <f t="shared" si="0"/>
        <v>148953.68166696001</v>
      </c>
      <c r="R13" s="383"/>
      <c r="S13" s="133"/>
      <c r="T13" s="406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87"/>
      <c r="C14" s="388" t="s">
        <v>114</v>
      </c>
      <c r="D14" s="522" t="s">
        <v>115</v>
      </c>
      <c r="E14" s="508"/>
      <c r="F14" s="509"/>
      <c r="G14" s="408">
        <f>SUM(G10:G13)</f>
        <v>562148</v>
      </c>
      <c r="H14" s="408">
        <f>SUM(H10:H13)</f>
        <v>557257.31239999994</v>
      </c>
      <c r="I14" s="409">
        <f>I10</f>
        <v>0.60058766826488896</v>
      </c>
      <c r="J14" s="408">
        <f>J10</f>
        <v>334681.86987787473</v>
      </c>
      <c r="K14" s="518" t="s">
        <v>115</v>
      </c>
      <c r="L14" s="508"/>
      <c r="M14" s="509"/>
      <c r="N14" s="408">
        <f>SUM(N10:N13)</f>
        <v>725455</v>
      </c>
      <c r="O14" s="408">
        <f>SUM(O10:O13)</f>
        <v>703739.00130000012</v>
      </c>
      <c r="P14" s="409">
        <f>+Q14/O14</f>
        <v>0.65532673957506127</v>
      </c>
      <c r="Q14" s="408">
        <f>+Q10+Q11+Q12+Q13</f>
        <v>461178.9852337389</v>
      </c>
      <c r="R14" s="383"/>
      <c r="S14" s="410"/>
      <c r="T14" s="406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87"/>
      <c r="C15" s="388"/>
      <c r="D15" s="524" t="s">
        <v>116</v>
      </c>
      <c r="E15" s="525"/>
      <c r="F15" s="525"/>
      <c r="G15" s="525"/>
      <c r="H15" s="525"/>
      <c r="I15" s="525"/>
      <c r="J15" s="526"/>
      <c r="K15" s="527" t="s">
        <v>117</v>
      </c>
      <c r="L15" s="508"/>
      <c r="M15" s="508"/>
      <c r="N15" s="508"/>
      <c r="O15" s="508"/>
      <c r="P15" s="508"/>
      <c r="Q15" s="511"/>
      <c r="R15" s="38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87"/>
      <c r="C16" s="388"/>
      <c r="D16" s="503" t="s">
        <v>118</v>
      </c>
      <c r="E16" s="501"/>
      <c r="F16" s="502"/>
      <c r="G16" s="399">
        <f>+Diagrama!J77</f>
        <v>176000</v>
      </c>
      <c r="H16" s="399">
        <f>+G16*(1-Diagrama!AE7)</f>
        <v>174709.25658207256</v>
      </c>
      <c r="I16" s="400">
        <f>+Diagrama!N5</f>
        <v>0.64370000000000005</v>
      </c>
      <c r="J16" s="396">
        <f t="shared" ref="J16:J20" si="2">I16*H16</f>
        <v>112460.34846188012</v>
      </c>
      <c r="K16" s="411" t="s">
        <v>119</v>
      </c>
      <c r="L16" s="411"/>
      <c r="M16" s="412"/>
      <c r="N16" s="394">
        <f>+O16</f>
        <v>80959.563825055302</v>
      </c>
      <c r="O16" s="394">
        <f>+Diagrama!J75</f>
        <v>80959.563825055302</v>
      </c>
      <c r="P16" s="395">
        <f>+Diagrama!F28</f>
        <v>8.3799220138465219E-2</v>
      </c>
      <c r="Q16" s="396">
        <f t="shared" ref="Q16:Q17" si="3">P16*O16</f>
        <v>6784.3483112899348</v>
      </c>
      <c r="R16" s="383"/>
      <c r="S16" s="41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87"/>
      <c r="C17" s="388"/>
      <c r="D17" s="503" t="s">
        <v>107</v>
      </c>
      <c r="E17" s="501"/>
      <c r="F17" s="502"/>
      <c r="G17" s="399">
        <f>+Diagrama!J72</f>
        <v>364334</v>
      </c>
      <c r="H17" s="399">
        <f>+G17*(1-Diagrama!AE16)</f>
        <v>332090.44099999999</v>
      </c>
      <c r="I17" s="400">
        <f>+Diagrama!C42</f>
        <v>0.68740042268907109</v>
      </c>
      <c r="J17" s="396">
        <f t="shared" si="2"/>
        <v>228279.10951440001</v>
      </c>
      <c r="K17" s="518" t="s">
        <v>115</v>
      </c>
      <c r="L17" s="508"/>
      <c r="M17" s="509"/>
      <c r="N17" s="414">
        <f>N16</f>
        <v>80959.563825055302</v>
      </c>
      <c r="O17" s="414">
        <f t="shared" ref="O17:P17" si="4">O16</f>
        <v>80959.563825055302</v>
      </c>
      <c r="P17" s="415">
        <f t="shared" si="4"/>
        <v>8.3799220138465219E-2</v>
      </c>
      <c r="Q17" s="416">
        <f t="shared" si="3"/>
        <v>6784.3483112899348</v>
      </c>
      <c r="R17" s="383"/>
      <c r="S17" s="41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x14ac:dyDescent="0.2">
      <c r="A18" s="133"/>
      <c r="B18" s="387"/>
      <c r="C18" s="388"/>
      <c r="D18" s="503" t="s">
        <v>109</v>
      </c>
      <c r="E18" s="501"/>
      <c r="F18" s="502"/>
      <c r="G18" s="399">
        <f>+Diagrama!J70</f>
        <v>240611</v>
      </c>
      <c r="H18" s="399">
        <f>+G18*(1-Diagrama!AE26)</f>
        <v>239407.94500000001</v>
      </c>
      <c r="I18" s="400">
        <f>+Diagrama!M53</f>
        <v>0.65506562002568458</v>
      </c>
      <c r="J18" s="396">
        <f t="shared" si="2"/>
        <v>156827.91393049998</v>
      </c>
      <c r="K18" s="133"/>
      <c r="L18" s="133"/>
      <c r="M18" s="133"/>
      <c r="N18" s="133"/>
      <c r="O18" s="417"/>
      <c r="P18" s="418"/>
      <c r="Q18" s="418"/>
      <c r="R18" s="383"/>
      <c r="S18" s="41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87"/>
      <c r="C19" s="388"/>
      <c r="D19" s="503" t="s">
        <v>94</v>
      </c>
      <c r="E19" s="501"/>
      <c r="F19" s="502"/>
      <c r="G19" s="399">
        <v>0</v>
      </c>
      <c r="H19" s="399">
        <f>Diagrama!J78*(1-'Datos Extra'!D28)</f>
        <v>0</v>
      </c>
      <c r="I19" s="400" t="e">
        <f>+Diagrama!#REF!</f>
        <v>#REF!</v>
      </c>
      <c r="J19" s="396" t="e">
        <f t="shared" si="2"/>
        <v>#REF!</v>
      </c>
      <c r="K19" s="519"/>
      <c r="L19" s="520"/>
      <c r="M19" s="520"/>
      <c r="O19" s="419"/>
      <c r="P19" s="420"/>
      <c r="Q19" s="421"/>
      <c r="R19" s="38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thickBot="1" x14ac:dyDescent="0.25">
      <c r="A20" s="133"/>
      <c r="B20" s="387"/>
      <c r="C20" s="388"/>
      <c r="D20" s="503" t="s">
        <v>111</v>
      </c>
      <c r="E20" s="501"/>
      <c r="F20" s="502"/>
      <c r="G20" s="399">
        <v>0</v>
      </c>
      <c r="H20" s="399">
        <f>+Diagrama!J71*(1-'Datos Extra'!D32)</f>
        <v>0</v>
      </c>
      <c r="I20" s="400">
        <f>+Diagrama!T49</f>
        <v>0</v>
      </c>
      <c r="J20" s="396">
        <f t="shared" si="2"/>
        <v>0</v>
      </c>
      <c r="K20" s="521"/>
      <c r="L20" s="520"/>
      <c r="M20" s="520"/>
      <c r="O20" s="423"/>
      <c r="P20" s="424"/>
      <c r="Q20" s="425"/>
      <c r="R20" s="38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87"/>
      <c r="C21" s="388"/>
      <c r="D21" s="522" t="s">
        <v>115</v>
      </c>
      <c r="E21" s="508"/>
      <c r="F21" s="509"/>
      <c r="G21" s="408">
        <f>SUM(G16:G20)</f>
        <v>780945</v>
      </c>
      <c r="H21" s="408">
        <f>SUM(H16:H20)</f>
        <v>746207.64258207264</v>
      </c>
      <c r="I21" s="409" t="e">
        <f>SUMPRODUCT(H16:H20,I16:I20)/H21</f>
        <v>#REF!</v>
      </c>
      <c r="J21" s="408" t="e">
        <f>SUM(J16:J20)</f>
        <v>#REF!</v>
      </c>
      <c r="K21" s="521"/>
      <c r="L21" s="520"/>
      <c r="M21" s="520"/>
      <c r="O21" s="423"/>
      <c r="P21" s="424"/>
      <c r="Q21" s="425"/>
      <c r="R21" s="38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87"/>
      <c r="C22" s="388"/>
      <c r="D22" s="422"/>
      <c r="E22" s="422"/>
      <c r="F22" s="422"/>
      <c r="G22" s="422"/>
      <c r="H22" s="422"/>
      <c r="I22" s="422"/>
      <c r="J22" s="422"/>
      <c r="K22" s="422"/>
      <c r="L22" s="422"/>
      <c r="M22" s="422"/>
      <c r="N22" s="422"/>
      <c r="O22" s="423"/>
      <c r="P22" s="424"/>
      <c r="Q22" s="425"/>
      <c r="R22" s="38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87"/>
      <c r="C23" s="388"/>
      <c r="D23" s="523" t="s">
        <v>120</v>
      </c>
      <c r="E23" s="508"/>
      <c r="F23" s="509"/>
      <c r="G23" s="407"/>
      <c r="H23" s="427" t="s">
        <v>40</v>
      </c>
      <c r="I23" s="427" t="s">
        <v>103</v>
      </c>
      <c r="J23" s="428" t="s">
        <v>41</v>
      </c>
      <c r="K23" s="426" t="s">
        <v>121</v>
      </c>
      <c r="L23" s="429" t="s">
        <v>122</v>
      </c>
      <c r="M23" s="430"/>
      <c r="N23" s="430"/>
      <c r="O23" s="431"/>
      <c r="P23" s="430"/>
      <c r="Q23" s="430"/>
      <c r="R23" s="432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87"/>
      <c r="C24" s="388"/>
      <c r="D24" s="515" t="s">
        <v>123</v>
      </c>
      <c r="E24" s="516"/>
      <c r="F24" s="517"/>
      <c r="G24" s="391"/>
      <c r="H24" s="433"/>
      <c r="I24" s="434"/>
      <c r="J24" s="435"/>
      <c r="K24" s="436"/>
      <c r="L24" s="437"/>
      <c r="M24" s="438"/>
      <c r="N24" s="438"/>
      <c r="O24" s="439">
        <v>0.76</v>
      </c>
      <c r="P24" s="420"/>
      <c r="Q24" s="421"/>
      <c r="R24" s="383"/>
      <c r="S24" s="133"/>
      <c r="T24" s="133"/>
      <c r="U24" s="440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87"/>
      <c r="C25" s="388"/>
      <c r="D25" s="500" t="s">
        <v>124</v>
      </c>
      <c r="E25" s="501"/>
      <c r="F25" s="502"/>
      <c r="G25" s="384"/>
      <c r="H25" s="399"/>
      <c r="I25" s="400"/>
      <c r="J25" s="442"/>
      <c r="K25" s="436"/>
      <c r="L25" s="443"/>
      <c r="M25" s="438"/>
      <c r="N25" s="438"/>
      <c r="O25" s="439">
        <v>8.68</v>
      </c>
      <c r="P25" s="420"/>
      <c r="Q25" s="421"/>
      <c r="R25" s="383"/>
      <c r="S25" s="133"/>
      <c r="T25" s="133"/>
      <c r="U25" s="440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87"/>
      <c r="C26" s="388"/>
      <c r="D26" s="500" t="s">
        <v>125</v>
      </c>
      <c r="E26" s="501"/>
      <c r="F26" s="502"/>
      <c r="G26" s="384"/>
      <c r="H26" s="399"/>
      <c r="I26" s="400"/>
      <c r="J26" s="442"/>
      <c r="K26" s="436"/>
      <c r="L26" s="443"/>
      <c r="M26" s="438"/>
      <c r="N26" s="438"/>
      <c r="O26" s="439">
        <v>0.76</v>
      </c>
      <c r="P26" s="420"/>
      <c r="Q26" s="421"/>
      <c r="R26" s="383"/>
      <c r="S26" s="133"/>
      <c r="T26" s="133"/>
      <c r="U26" s="440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87"/>
      <c r="C27" s="388"/>
      <c r="D27" s="500" t="s">
        <v>126</v>
      </c>
      <c r="E27" s="501"/>
      <c r="F27" s="502"/>
      <c r="G27" s="384"/>
      <c r="H27" s="399"/>
      <c r="I27" s="400"/>
      <c r="J27" s="442"/>
      <c r="K27" s="436"/>
      <c r="L27" s="443"/>
      <c r="M27" s="438"/>
      <c r="N27" s="438"/>
      <c r="O27" s="439">
        <v>8.39</v>
      </c>
      <c r="P27" s="420"/>
      <c r="Q27" s="421"/>
      <c r="R27" s="383"/>
      <c r="S27" s="133"/>
      <c r="T27" s="133"/>
      <c r="U27" s="440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87"/>
      <c r="C28" s="388"/>
      <c r="D28" s="441" t="s">
        <v>127</v>
      </c>
      <c r="E28" s="444"/>
      <c r="F28" s="445"/>
      <c r="G28" s="446"/>
      <c r="H28" s="399"/>
      <c r="I28" s="400"/>
      <c r="J28" s="447"/>
      <c r="K28" s="448"/>
      <c r="L28" s="449"/>
      <c r="M28" s="438"/>
      <c r="N28" s="438"/>
      <c r="O28" s="439"/>
      <c r="P28" s="420"/>
      <c r="Q28" s="421"/>
      <c r="R28" s="383"/>
      <c r="S28" s="133"/>
      <c r="T28" s="133"/>
      <c r="U28" s="440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87"/>
      <c r="C29" s="388"/>
      <c r="D29" s="503" t="s">
        <v>128</v>
      </c>
      <c r="E29" s="501"/>
      <c r="F29" s="502"/>
      <c r="G29" s="384"/>
      <c r="H29" s="399"/>
      <c r="I29" s="400"/>
      <c r="J29" s="442"/>
      <c r="K29" s="436"/>
      <c r="L29" s="443"/>
      <c r="M29" s="438"/>
      <c r="N29" s="438"/>
      <c r="O29" s="439">
        <v>0.05</v>
      </c>
      <c r="P29" s="420"/>
      <c r="Q29" s="421"/>
      <c r="R29" s="383"/>
      <c r="S29" s="133"/>
      <c r="T29" s="133"/>
      <c r="U29" s="440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87"/>
      <c r="C30" s="388"/>
      <c r="D30" s="504" t="s">
        <v>129</v>
      </c>
      <c r="E30" s="505"/>
      <c r="F30" s="506"/>
      <c r="G30" s="401"/>
      <c r="H30" s="450"/>
      <c r="I30" s="451"/>
      <c r="J30" s="452"/>
      <c r="K30" s="436"/>
      <c r="L30" s="449"/>
      <c r="M30" s="438"/>
      <c r="N30" s="438"/>
      <c r="O30" s="439">
        <v>0.05</v>
      </c>
      <c r="P30" s="420"/>
      <c r="Q30" s="421"/>
      <c r="R30" s="383"/>
      <c r="S30" s="133"/>
      <c r="T30" s="133"/>
      <c r="U30" s="440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87"/>
      <c r="C31" s="388"/>
      <c r="D31" s="507" t="s">
        <v>115</v>
      </c>
      <c r="E31" s="508"/>
      <c r="F31" s="509"/>
      <c r="G31" s="407"/>
      <c r="H31" s="414">
        <v>0</v>
      </c>
      <c r="I31" s="415"/>
      <c r="J31" s="453">
        <v>0</v>
      </c>
      <c r="K31" s="454">
        <v>0</v>
      </c>
      <c r="L31" s="416">
        <v>0</v>
      </c>
      <c r="M31" s="430"/>
      <c r="N31" s="430"/>
      <c r="O31" s="425"/>
      <c r="P31" s="424"/>
      <c r="Q31" s="425"/>
      <c r="R31" s="383"/>
      <c r="S31" s="133"/>
      <c r="T31" s="133"/>
      <c r="U31" s="440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87"/>
      <c r="C32" s="133"/>
      <c r="D32" s="455"/>
      <c r="E32" s="133"/>
      <c r="F32" s="133"/>
      <c r="G32" s="133"/>
      <c r="H32" s="133"/>
      <c r="I32" s="456"/>
      <c r="J32" s="456"/>
      <c r="K32" s="456"/>
      <c r="L32" s="457"/>
      <c r="M32" s="456"/>
      <c r="N32" s="456"/>
      <c r="O32" s="133"/>
      <c r="P32" s="458"/>
      <c r="Q32" s="133"/>
      <c r="R32" s="38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87"/>
      <c r="C33" s="133"/>
      <c r="D33" s="510" t="s">
        <v>130</v>
      </c>
      <c r="E33" s="508"/>
      <c r="F33" s="508"/>
      <c r="G33" s="508"/>
      <c r="H33" s="508"/>
      <c r="I33" s="508"/>
      <c r="J33" s="508"/>
      <c r="K33" s="508"/>
      <c r="L33" s="508"/>
      <c r="M33" s="508"/>
      <c r="N33" s="508"/>
      <c r="O33" s="508"/>
      <c r="P33" s="508"/>
      <c r="Q33" s="511"/>
      <c r="R33" s="38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87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8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87"/>
      <c r="C35" s="133"/>
      <c r="D35" s="512" t="s">
        <v>131</v>
      </c>
      <c r="E35" s="508"/>
      <c r="F35" s="511"/>
      <c r="G35" s="459"/>
      <c r="H35" s="513"/>
      <c r="I35" s="514"/>
      <c r="J35" s="133"/>
      <c r="K35" s="512" t="s">
        <v>132</v>
      </c>
      <c r="L35" s="508"/>
      <c r="M35" s="511"/>
      <c r="N35" s="459"/>
      <c r="O35" s="513"/>
      <c r="P35" s="514"/>
      <c r="Q35" s="133"/>
      <c r="R35" s="38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87"/>
      <c r="C36" s="133"/>
      <c r="D36" s="488">
        <f>+Diagrama!O19</f>
        <v>0.86635997358641803</v>
      </c>
      <c r="E36" s="489"/>
      <c r="F36" s="490"/>
      <c r="G36" s="459"/>
      <c r="H36" s="460"/>
      <c r="I36" s="461"/>
      <c r="J36" s="133"/>
      <c r="K36" s="494">
        <f>+Diagrama!O21</f>
        <v>0.99336272867831332</v>
      </c>
      <c r="L36" s="495"/>
      <c r="M36" s="496"/>
      <c r="N36" s="462"/>
      <c r="O36" s="461"/>
      <c r="P36" s="461"/>
      <c r="Q36" s="133"/>
      <c r="R36" s="38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87"/>
      <c r="C37" s="133"/>
      <c r="D37" s="491"/>
      <c r="E37" s="492"/>
      <c r="F37" s="493"/>
      <c r="G37" s="459"/>
      <c r="H37" s="463"/>
      <c r="I37" s="464"/>
      <c r="J37" s="133"/>
      <c r="K37" s="497"/>
      <c r="L37" s="498"/>
      <c r="M37" s="499"/>
      <c r="N37" s="462"/>
      <c r="O37" s="465"/>
      <c r="P37" s="464"/>
      <c r="Q37" s="133"/>
      <c r="R37" s="38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87"/>
      <c r="C38" s="133"/>
      <c r="D38" s="466"/>
      <c r="E38" s="466"/>
      <c r="F38" s="466"/>
      <c r="G38" s="466"/>
      <c r="H38" s="467"/>
      <c r="I38" s="468"/>
      <c r="J38" s="133"/>
      <c r="K38" s="466"/>
      <c r="L38" s="466"/>
      <c r="M38" s="466"/>
      <c r="N38" s="466"/>
      <c r="O38" s="469"/>
      <c r="P38" s="470"/>
      <c r="Q38" s="133"/>
      <c r="R38" s="38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71"/>
      <c r="C39" s="472"/>
      <c r="D39" s="472"/>
      <c r="E39" s="472"/>
      <c r="F39" s="472"/>
      <c r="G39" s="472"/>
      <c r="H39" s="472"/>
      <c r="I39" s="472"/>
      <c r="J39" s="472"/>
      <c r="K39" s="472"/>
      <c r="L39" s="472"/>
      <c r="M39" s="472"/>
      <c r="N39" s="472"/>
      <c r="O39" s="472"/>
      <c r="P39" s="472"/>
      <c r="Q39" s="472"/>
      <c r="R39" s="47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74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5">
    <mergeCell ref="D7:F8"/>
    <mergeCell ref="K7:M8"/>
    <mergeCell ref="D2:E5"/>
    <mergeCell ref="F2:Q3"/>
    <mergeCell ref="F4:L5"/>
    <mergeCell ref="M4:O5"/>
    <mergeCell ref="P4:Q5"/>
    <mergeCell ref="D15:J15"/>
    <mergeCell ref="K15:Q15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4:M14"/>
    <mergeCell ref="D24:F24"/>
    <mergeCell ref="D16:F16"/>
    <mergeCell ref="D17:F17"/>
    <mergeCell ref="K17:M17"/>
    <mergeCell ref="D18:F18"/>
    <mergeCell ref="D19:F19"/>
    <mergeCell ref="K19:M19"/>
    <mergeCell ref="D20:F20"/>
    <mergeCell ref="K20:M20"/>
    <mergeCell ref="D21:F21"/>
    <mergeCell ref="K21:M21"/>
    <mergeCell ref="D23:F23"/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>Alimentación Mina</v>
      </c>
      <c r="Y3" s="7" t="str">
        <v>Alim a Planta desde Acopio Mina</v>
      </c>
      <c r="Z3" s="7" t="str">
        <v>Acopio Mina a Terceros</v>
      </c>
      <c r="AA3" s="7" t="str">
        <v>Delta S Acopio Mina</v>
      </c>
      <c r="AB3" s="7" t="str">
        <v>Alim a Chancado</v>
      </c>
      <c r="AC3" s="7" t="str">
        <v>Chanc a Stock Prec Los Col.</v>
      </c>
      <c r="AD3" s="7" t="str">
        <v>Chanc a Stock Grueso</v>
      </c>
      <c r="AE3" s="7" t="str">
        <v>Delta Stock de Grueso</v>
      </c>
      <c r="AF3" s="7" t="str">
        <v>De Stock Grueso a conc magn (alim A52 y A82)</v>
      </c>
      <c r="AG3" s="7" t="str">
        <v>Stock Prec a (o desde) Acopio Mina</v>
      </c>
      <c r="AH3" s="7" t="str">
        <v>Delta Stock Prec</v>
      </c>
      <c r="AI3" s="7" t="str">
        <v>de Stock Prec a Terceros (a otras faenas)</v>
      </c>
      <c r="AJ3" s="7" t="str">
        <v>de Conc Magnética a Stock Prec (Prod A52 y A 82)</v>
      </c>
      <c r="AK3" s="7" t="str">
        <v>total de rechazo</v>
      </c>
      <c r="AL3" s="7" t="str">
        <v>Rechazo  a Stock de Rechazo</v>
      </c>
      <c r="AM3" s="7" t="str">
        <v>alim fresca a Planta Rechazo</v>
      </c>
      <c r="AN3" s="7" t="str">
        <v>Delta Stock de Rechazo</v>
      </c>
      <c r="AO3" s="7" t="str">
        <v>Stock Rechazo a Planta Rechazo</v>
      </c>
      <c r="AP3" s="7" t="str">
        <v>Alimentación Planta Rechazo</v>
      </c>
      <c r="AQ3" s="7" t="str">
        <v>Rechazo Final Los Colorados</v>
      </c>
      <c r="AR3" s="7" t="str">
        <v>Producción Planta Rechazo a Stock P40</v>
      </c>
      <c r="AS3" s="7" t="str">
        <v>Delta Stock P40</v>
      </c>
      <c r="AT3" s="7" t="str">
        <v>Venta desde P40</v>
      </c>
      <c r="AU3" s="7" t="str">
        <v>de Stoc Prec a Nodo Alim Planta de Pellet</v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>Acopio Mina</v>
      </c>
      <c r="X4" s="1">
        <v>0</v>
      </c>
      <c r="Y4" s="1">
        <v>-1</v>
      </c>
      <c r="Z4" s="1">
        <v>-1</v>
      </c>
      <c r="AA4" s="1" t="e">
        <v>#REF!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>Nodo Alim Mina CH</v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>CH Mina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>Stock Prec Los Colorados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e">
        <v>#REF!</v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>Stock Grueso CH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e">
        <v>#REF!</v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>Concentracc. Mag Los Colorados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>Nodo Separador Producto Conc Mag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>Stock Rechazo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e">
        <v>#REF!</v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>Nodo Alim Planta Rechazo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>Planta Rechazos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>Stock P40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e">
        <v>#REF!</v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51" t="s">
        <v>45</v>
      </c>
      <c r="K44" s="552"/>
      <c r="M44" s="553" t="s">
        <v>46</v>
      </c>
      <c r="N44" s="554"/>
      <c r="O44" s="555"/>
      <c r="R44" s="556" t="s">
        <v>47</v>
      </c>
      <c r="S44" s="552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#REF!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57" t="s">
        <v>59</v>
      </c>
      <c r="K71" s="552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58" t="s">
        <v>63</v>
      </c>
      <c r="Q7" s="552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58" t="s">
        <v>20</v>
      </c>
      <c r="Q10" s="552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59" t="s">
        <v>66</v>
      </c>
      <c r="Q13" s="552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60" t="s">
        <v>68</v>
      </c>
      <c r="F44" s="561"/>
      <c r="G44" s="564"/>
      <c r="H44" s="560" t="s">
        <v>69</v>
      </c>
      <c r="I44" s="561"/>
      <c r="J44" s="552"/>
      <c r="K44" s="562" t="s">
        <v>70</v>
      </c>
      <c r="L44" s="561"/>
      <c r="M44" s="561"/>
      <c r="N44" s="552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63" t="s">
        <v>72</v>
      </c>
      <c r="I45" s="552"/>
      <c r="J45" s="27">
        <f>+E7</f>
        <v>1770.5761999999995</v>
      </c>
      <c r="K45" s="563" t="s">
        <v>73</v>
      </c>
      <c r="L45" s="561"/>
      <c r="M45" s="552"/>
      <c r="N45" s="27">
        <f>+C8</f>
        <v>12961.629000000001</v>
      </c>
    </row>
    <row r="46" spans="2:20" ht="15.75" customHeight="1" x14ac:dyDescent="0.2">
      <c r="E46" s="557"/>
      <c r="F46" s="552"/>
      <c r="G46" s="16"/>
      <c r="H46" s="563" t="s">
        <v>74</v>
      </c>
      <c r="I46" s="552"/>
      <c r="J46" s="27">
        <f>+J19</f>
        <v>44584.890479986498</v>
      </c>
      <c r="K46" s="563" t="s">
        <v>75</v>
      </c>
      <c r="L46" s="561"/>
      <c r="M46" s="552"/>
      <c r="N46" s="27">
        <f>+C28</f>
        <v>16162.331</v>
      </c>
    </row>
    <row r="47" spans="2:20" ht="15.75" customHeight="1" x14ac:dyDescent="0.2">
      <c r="E47" s="557"/>
      <c r="F47" s="552"/>
      <c r="G47" s="16"/>
      <c r="H47" s="563" t="s">
        <v>76</v>
      </c>
      <c r="I47" s="552"/>
      <c r="J47" s="27">
        <f>+G27</f>
        <v>-359512.14169349719</v>
      </c>
      <c r="K47" s="563" t="s">
        <v>77</v>
      </c>
      <c r="L47" s="561"/>
      <c r="M47" s="552"/>
      <c r="N47" s="27">
        <f>+S36</f>
        <v>19130.865000000002</v>
      </c>
    </row>
    <row r="48" spans="2:20" ht="15.75" customHeight="1" x14ac:dyDescent="0.2">
      <c r="E48" s="557"/>
      <c r="F48" s="552"/>
      <c r="G48" s="16"/>
      <c r="H48" s="77" t="s">
        <v>78</v>
      </c>
      <c r="I48" s="77"/>
      <c r="J48" s="27">
        <f>+O20</f>
        <v>-14174.322317347061</v>
      </c>
      <c r="K48" s="563" t="s">
        <v>79</v>
      </c>
      <c r="L48" s="561"/>
      <c r="M48" s="552"/>
      <c r="N48" s="27">
        <f>+S28</f>
        <v>108284.65870939114</v>
      </c>
    </row>
    <row r="49" spans="5:14" ht="15.75" customHeight="1" x14ac:dyDescent="0.2">
      <c r="E49" s="557"/>
      <c r="F49" s="552"/>
      <c r="G49" s="16"/>
      <c r="H49" s="563" t="s">
        <v>80</v>
      </c>
      <c r="I49" s="552"/>
      <c r="J49" s="27">
        <f>+P40</f>
        <v>-311.60807004405433</v>
      </c>
      <c r="K49" s="563" t="s">
        <v>81</v>
      </c>
      <c r="L49" s="561"/>
      <c r="M49" s="552"/>
      <c r="N49" s="27">
        <f>+G36</f>
        <v>673884.94200000004</v>
      </c>
    </row>
    <row r="50" spans="5:14" ht="15.75" customHeight="1" x14ac:dyDescent="0.25">
      <c r="E50" s="567" t="s">
        <v>82</v>
      </c>
      <c r="F50" s="552"/>
      <c r="G50" s="78">
        <f>+G45</f>
        <v>502781.82030850503</v>
      </c>
      <c r="H50" s="565" t="s">
        <v>83</v>
      </c>
      <c r="I50" s="552"/>
      <c r="J50" s="79">
        <f>+SUM(J45:J49)</f>
        <v>-327642.60540090181</v>
      </c>
      <c r="K50" s="565" t="s">
        <v>84</v>
      </c>
      <c r="L50" s="561"/>
      <c r="M50" s="552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68" t="s">
        <v>68</v>
      </c>
      <c r="F55" s="561"/>
      <c r="G55" s="564"/>
      <c r="H55" s="568" t="s">
        <v>69</v>
      </c>
      <c r="I55" s="561"/>
      <c r="J55" s="552"/>
      <c r="K55" s="566" t="s">
        <v>70</v>
      </c>
      <c r="L55" s="561"/>
      <c r="M55" s="561"/>
      <c r="N55" s="552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63" t="s">
        <v>72</v>
      </c>
      <c r="I56" s="552"/>
      <c r="J56" s="27" t="e">
        <f>+'Bal Los Colorados'!O49*'Bal Los Colorados'!G49</f>
        <v>#REF!</v>
      </c>
      <c r="K56" s="563" t="s">
        <v>73</v>
      </c>
      <c r="L56" s="561"/>
      <c r="M56" s="552"/>
      <c r="N56" s="27">
        <f>+C10</f>
        <v>7704.8210577451482</v>
      </c>
    </row>
    <row r="57" spans="5:14" ht="15.75" customHeight="1" x14ac:dyDescent="0.2">
      <c r="E57" s="557"/>
      <c r="F57" s="552"/>
      <c r="G57" s="16"/>
      <c r="H57" s="563" t="s">
        <v>74</v>
      </c>
      <c r="I57" s="552"/>
      <c r="J57" s="27" t="e">
        <f>+'Bal Los Colorados'!O53*'Bal Los Colorados'!G53</f>
        <v>#REF!</v>
      </c>
      <c r="K57" s="563" t="s">
        <v>75</v>
      </c>
      <c r="L57" s="561"/>
      <c r="M57" s="552"/>
      <c r="N57" s="27">
        <f>+C30</f>
        <v>9675.4587302503223</v>
      </c>
    </row>
    <row r="58" spans="5:14" ht="15.75" customHeight="1" x14ac:dyDescent="0.2">
      <c r="E58" s="557"/>
      <c r="F58" s="552"/>
      <c r="G58" s="16"/>
      <c r="H58" s="563" t="s">
        <v>76</v>
      </c>
      <c r="I58" s="552"/>
      <c r="J58" s="27" t="e">
        <f>+'Bal Los Colorados'!O56*'Bal Los Colorados'!G56</f>
        <v>#REF!</v>
      </c>
      <c r="K58" s="563" t="s">
        <v>77</v>
      </c>
      <c r="L58" s="561"/>
      <c r="M58" s="552"/>
      <c r="N58" s="27">
        <f>+S38</f>
        <v>7620.3234035700007</v>
      </c>
    </row>
    <row r="59" spans="5:14" ht="15.75" customHeight="1" x14ac:dyDescent="0.2">
      <c r="E59" s="557"/>
      <c r="F59" s="552"/>
      <c r="G59" s="16"/>
      <c r="H59" s="77" t="s">
        <v>78</v>
      </c>
      <c r="I59" s="77"/>
      <c r="J59" s="27" t="e">
        <f>+'Bal Los Colorados'!O62*'Bal Los Colorados'!G62</f>
        <v>#REF!</v>
      </c>
      <c r="K59" s="563" t="s">
        <v>79</v>
      </c>
      <c r="L59" s="561"/>
      <c r="M59" s="552"/>
      <c r="N59" s="27">
        <f>+S30</f>
        <v>14049.347154701374</v>
      </c>
    </row>
    <row r="60" spans="5:14" ht="15.75" customHeight="1" x14ac:dyDescent="0.2">
      <c r="E60" s="557"/>
      <c r="F60" s="552"/>
      <c r="G60" s="16"/>
      <c r="H60" s="563" t="s">
        <v>80</v>
      </c>
      <c r="I60" s="552"/>
      <c r="J60" s="27" t="e">
        <f>+'Bal Los Colorados'!O67*'Bal Los Colorados'!G67</f>
        <v>#REF!</v>
      </c>
      <c r="K60" s="563" t="s">
        <v>81</v>
      </c>
      <c r="L60" s="561"/>
      <c r="M60" s="552"/>
      <c r="N60" s="27">
        <f>+G38</f>
        <v>410848.95586592209</v>
      </c>
    </row>
    <row r="61" spans="5:14" ht="15.75" customHeight="1" x14ac:dyDescent="0.25">
      <c r="E61" s="567" t="s">
        <v>82</v>
      </c>
      <c r="F61" s="552"/>
      <c r="G61" s="78">
        <f>+G56</f>
        <v>231983.78607040126</v>
      </c>
      <c r="H61" s="565" t="s">
        <v>83</v>
      </c>
      <c r="I61" s="552"/>
      <c r="J61" s="79" t="e">
        <f>+SUM(J56:J60)</f>
        <v>#REF!</v>
      </c>
      <c r="K61" s="565" t="s">
        <v>84</v>
      </c>
      <c r="L61" s="561"/>
      <c r="M61" s="552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K47:M47"/>
    <mergeCell ref="K48:M48"/>
    <mergeCell ref="K49:M49"/>
    <mergeCell ref="K50:M50"/>
    <mergeCell ref="K55:N55"/>
    <mergeCell ref="H45:I45"/>
    <mergeCell ref="K45:M45"/>
    <mergeCell ref="E44:G44"/>
    <mergeCell ref="E46:F46"/>
    <mergeCell ref="H46:I46"/>
    <mergeCell ref="K46:M46"/>
    <mergeCell ref="P7:Q7"/>
    <mergeCell ref="P10:Q10"/>
    <mergeCell ref="P13:Q13"/>
    <mergeCell ref="H44:J44"/>
    <mergeCell ref="K44:N4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9"/>
  <sheetViews>
    <sheetView tabSelected="1" topLeftCell="A21" workbookViewId="0">
      <selection activeCell="A34" sqref="A34:A43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485" t="s">
        <v>171</v>
      </c>
      <c r="B1" s="482"/>
      <c r="C1" s="483"/>
      <c r="D1" s="484">
        <v>8.2565315053515272E-3</v>
      </c>
      <c r="E1" s="324"/>
      <c r="F1" s="341"/>
    </row>
    <row r="2" spans="1:6" ht="24" x14ac:dyDescent="0.3">
      <c r="A2" s="342" t="s">
        <v>172</v>
      </c>
      <c r="B2" s="343"/>
      <c r="C2" s="342"/>
      <c r="D2" s="344">
        <v>7.3337694200423E-3</v>
      </c>
      <c r="E2" s="324"/>
      <c r="F2" s="341"/>
    </row>
    <row r="3" spans="1:6" ht="24" x14ac:dyDescent="0.3">
      <c r="A3" s="342" t="s">
        <v>173</v>
      </c>
      <c r="B3" s="343"/>
      <c r="C3" s="342"/>
      <c r="D3" s="344">
        <v>1.04E-2</v>
      </c>
      <c r="E3" s="324"/>
      <c r="F3" s="326"/>
    </row>
    <row r="4" spans="1:6" ht="24" x14ac:dyDescent="0.3">
      <c r="A4" s="342" t="s">
        <v>175</v>
      </c>
      <c r="B4" s="343"/>
      <c r="C4" s="342"/>
      <c r="D4" s="344">
        <v>8.6564242834441009E-3</v>
      </c>
      <c r="E4" s="324"/>
      <c r="F4" s="324"/>
    </row>
    <row r="5" spans="1:6" ht="24" x14ac:dyDescent="0.3">
      <c r="A5" s="342" t="s">
        <v>139</v>
      </c>
      <c r="B5" s="343"/>
      <c r="C5" s="342"/>
      <c r="D5" s="344">
        <v>8.6999999999999994E-3</v>
      </c>
      <c r="E5" s="324"/>
      <c r="F5" s="324"/>
    </row>
    <row r="6" spans="1:6" ht="24" x14ac:dyDescent="0.3">
      <c r="A6" s="342" t="s">
        <v>8</v>
      </c>
      <c r="B6" s="343"/>
      <c r="C6" s="342"/>
      <c r="D6" s="344">
        <v>8.6E-3</v>
      </c>
    </row>
    <row r="7" spans="1:6" ht="24" x14ac:dyDescent="0.3">
      <c r="A7" s="342" t="s">
        <v>140</v>
      </c>
      <c r="B7" s="343"/>
      <c r="C7" s="342"/>
      <c r="D7" s="344">
        <v>7.6E-3</v>
      </c>
    </row>
    <row r="8" spans="1:6" ht="24" x14ac:dyDescent="0.3">
      <c r="A8" s="342" t="s">
        <v>87</v>
      </c>
      <c r="B8" s="343"/>
      <c r="C8" s="342"/>
      <c r="D8" s="344">
        <v>0</v>
      </c>
    </row>
    <row r="9" spans="1:6" ht="24" x14ac:dyDescent="0.3">
      <c r="A9" s="342" t="s">
        <v>141</v>
      </c>
      <c r="B9" s="343"/>
      <c r="C9" s="342"/>
      <c r="D9" s="344">
        <v>0.11174159282958218</v>
      </c>
    </row>
    <row r="10" spans="1:6" ht="24" x14ac:dyDescent="0.3">
      <c r="A10" s="342" t="s">
        <v>142</v>
      </c>
      <c r="B10" s="343"/>
      <c r="C10" s="342"/>
      <c r="D10" s="344">
        <v>9.8900000000000002E-2</v>
      </c>
    </row>
    <row r="11" spans="1:6" ht="24" x14ac:dyDescent="0.3">
      <c r="A11" s="342" t="s">
        <v>181</v>
      </c>
      <c r="B11" s="343"/>
      <c r="C11" s="342"/>
      <c r="D11" s="344">
        <v>8.8499999999999995E-2</v>
      </c>
    </row>
    <row r="12" spans="1:6" ht="24" x14ac:dyDescent="0.3">
      <c r="A12" s="342" t="s">
        <v>183</v>
      </c>
      <c r="B12" s="343"/>
      <c r="C12" s="342"/>
      <c r="D12" s="344">
        <v>0</v>
      </c>
    </row>
    <row r="13" spans="1:6" ht="24" x14ac:dyDescent="0.3">
      <c r="A13" s="342" t="s">
        <v>143</v>
      </c>
      <c r="B13" s="343"/>
      <c r="C13" s="342"/>
      <c r="D13" s="344">
        <v>0</v>
      </c>
    </row>
    <row r="14" spans="1:6" ht="24" x14ac:dyDescent="0.3">
      <c r="A14" s="342" t="s">
        <v>189</v>
      </c>
      <c r="B14" s="343"/>
      <c r="C14" s="342"/>
      <c r="D14" s="344">
        <v>8.8099999999999998E-2</v>
      </c>
    </row>
    <row r="15" spans="1:6" ht="24" x14ac:dyDescent="0.3">
      <c r="A15" s="342" t="s">
        <v>194</v>
      </c>
      <c r="B15" s="343"/>
      <c r="C15" s="342"/>
      <c r="D15" s="344">
        <v>2E-3</v>
      </c>
    </row>
    <row r="16" spans="1:6" ht="24" x14ac:dyDescent="0.3">
      <c r="A16" s="342" t="s">
        <v>198</v>
      </c>
      <c r="B16" s="343"/>
      <c r="C16" s="342"/>
      <c r="D16" s="344">
        <v>0.17672850168632548</v>
      </c>
    </row>
    <row r="17" spans="1:4" ht="24" x14ac:dyDescent="0.3">
      <c r="A17" s="342" t="s">
        <v>144</v>
      </c>
      <c r="B17" s="343"/>
      <c r="C17" s="342"/>
      <c r="D17" s="344">
        <v>5.0000000000000001E-3</v>
      </c>
    </row>
    <row r="18" spans="1:4" ht="24" x14ac:dyDescent="0.3">
      <c r="A18" s="342" t="s">
        <v>145</v>
      </c>
      <c r="B18" s="343"/>
      <c r="C18" s="342"/>
      <c r="D18" s="344">
        <v>5.1612903225806139E-3</v>
      </c>
    </row>
    <row r="19" spans="1:4" ht="24" x14ac:dyDescent="0.3">
      <c r="A19" s="342" t="s">
        <v>146</v>
      </c>
      <c r="B19" s="343"/>
      <c r="C19" s="342"/>
      <c r="D19" s="344">
        <v>4.9999999999998934E-3</v>
      </c>
    </row>
    <row r="20" spans="1:4" ht="24" x14ac:dyDescent="0.3">
      <c r="A20" s="342" t="s">
        <v>147</v>
      </c>
      <c r="B20" s="343"/>
      <c r="C20" s="342"/>
      <c r="D20" s="344">
        <v>5.0000000000000001E-3</v>
      </c>
    </row>
    <row r="21" spans="1:4" ht="24" x14ac:dyDescent="0.3">
      <c r="A21" s="342" t="s">
        <v>148</v>
      </c>
      <c r="B21" s="343"/>
      <c r="C21" s="342"/>
      <c r="D21" s="344">
        <v>5.0000000000000001E-3</v>
      </c>
    </row>
    <row r="22" spans="1:4" ht="24" x14ac:dyDescent="0.3">
      <c r="A22" s="342" t="s">
        <v>10</v>
      </c>
      <c r="B22" s="343"/>
      <c r="C22" s="342"/>
      <c r="D22" s="344">
        <v>5.0000000000000001E-3</v>
      </c>
    </row>
    <row r="23" spans="1:4" ht="24" x14ac:dyDescent="0.3">
      <c r="A23" s="342" t="s">
        <v>207</v>
      </c>
      <c r="B23" s="343"/>
      <c r="C23" s="342"/>
      <c r="D23" s="344">
        <v>1.0609981671660898E-2</v>
      </c>
    </row>
    <row r="24" spans="1:4" ht="24" x14ac:dyDescent="0.3">
      <c r="A24" s="342" t="s">
        <v>92</v>
      </c>
      <c r="B24" s="343">
        <v>9561.2951012849808</v>
      </c>
      <c r="C24" s="342">
        <v>9482.3519670492587</v>
      </c>
      <c r="D24" s="344">
        <v>8.2565315053515272E-3</v>
      </c>
    </row>
    <row r="25" spans="1:4" ht="24" x14ac:dyDescent="0.3">
      <c r="A25" s="345" t="s">
        <v>93</v>
      </c>
      <c r="B25" s="343">
        <v>206592.68611022949</v>
      </c>
      <c r="C25" s="346">
        <v>205077.58298642989</v>
      </c>
      <c r="D25" s="347">
        <v>7.3337694200423E-3</v>
      </c>
    </row>
    <row r="26" spans="1:4" ht="24" x14ac:dyDescent="0.3">
      <c r="A26" s="345" t="s">
        <v>174</v>
      </c>
      <c r="B26" s="343">
        <v>550</v>
      </c>
      <c r="C26" s="346">
        <v>545.27</v>
      </c>
      <c r="D26" s="347">
        <v>8.6E-3</v>
      </c>
    </row>
    <row r="27" spans="1:4" ht="24" x14ac:dyDescent="0.3">
      <c r="A27" s="345" t="s">
        <v>176</v>
      </c>
      <c r="B27" s="343">
        <v>1440</v>
      </c>
      <c r="C27" s="346">
        <v>1440</v>
      </c>
      <c r="D27" s="347">
        <v>0</v>
      </c>
    </row>
    <row r="28" spans="1:4" ht="24" x14ac:dyDescent="0.3">
      <c r="A28" s="345" t="s">
        <v>107</v>
      </c>
      <c r="B28" s="343">
        <v>218541.48310889813</v>
      </c>
      <c r="C28" s="346">
        <v>199200.56185376065</v>
      </c>
      <c r="D28" s="347">
        <v>8.8499999999999995E-2</v>
      </c>
    </row>
    <row r="29" spans="1:4" ht="24" x14ac:dyDescent="0.3">
      <c r="A29" s="345" t="s">
        <v>177</v>
      </c>
      <c r="B29" s="343">
        <v>0</v>
      </c>
      <c r="C29" s="346">
        <v>0</v>
      </c>
      <c r="D29" s="347">
        <v>0</v>
      </c>
    </row>
    <row r="30" spans="1:4" ht="24" x14ac:dyDescent="0.3">
      <c r="A30" s="345" t="s">
        <v>109</v>
      </c>
      <c r="B30" s="343">
        <v>233821</v>
      </c>
      <c r="C30" s="346">
        <v>232651.89499999999</v>
      </c>
      <c r="D30" s="347">
        <v>5.0000000000000001E-3</v>
      </c>
    </row>
    <row r="31" spans="1:4" ht="24" x14ac:dyDescent="0.3">
      <c r="A31" s="345" t="s">
        <v>178</v>
      </c>
      <c r="B31" s="343">
        <v>99746</v>
      </c>
      <c r="C31" s="346">
        <v>99247.27</v>
      </c>
      <c r="D31" s="347">
        <v>5.0000000000000001E-3</v>
      </c>
    </row>
    <row r="32" spans="1:4" ht="24" x14ac:dyDescent="0.3">
      <c r="A32" s="345" t="s">
        <v>179</v>
      </c>
      <c r="B32" s="343">
        <v>0</v>
      </c>
      <c r="C32" s="346">
        <v>0</v>
      </c>
      <c r="D32" s="347">
        <v>3.5000000000000003E-2</v>
      </c>
    </row>
    <row r="33" spans="1:4" ht="24" x14ac:dyDescent="0.3">
      <c r="A33" s="345" t="s">
        <v>180</v>
      </c>
      <c r="B33" s="343">
        <v>0</v>
      </c>
      <c r="C33" s="346">
        <v>0</v>
      </c>
      <c r="D33" s="347">
        <v>0</v>
      </c>
    </row>
    <row r="34" spans="1:4" ht="24" x14ac:dyDescent="0.3">
      <c r="A34" s="608" t="s">
        <v>282</v>
      </c>
      <c r="B34" s="482">
        <v>3994</v>
      </c>
      <c r="C34" s="482">
        <v>9561.2951012849808</v>
      </c>
      <c r="D34" s="482"/>
    </row>
    <row r="35" spans="1:4" ht="24" x14ac:dyDescent="0.3">
      <c r="A35" s="608" t="s">
        <v>283</v>
      </c>
      <c r="B35" s="482">
        <v>138376</v>
      </c>
      <c r="C35" s="482">
        <v>206592.68611022949</v>
      </c>
      <c r="D35" s="482"/>
    </row>
    <row r="36" spans="1:4" ht="24" x14ac:dyDescent="0.3">
      <c r="A36" s="608" t="s">
        <v>284</v>
      </c>
      <c r="B36" s="482">
        <v>0</v>
      </c>
      <c r="C36" s="482">
        <v>550</v>
      </c>
      <c r="D36" s="482"/>
    </row>
    <row r="37" spans="1:4" ht="24" x14ac:dyDescent="0.3">
      <c r="A37" s="608" t="s">
        <v>285</v>
      </c>
      <c r="B37" s="482">
        <v>0</v>
      </c>
      <c r="C37" s="482">
        <v>1440</v>
      </c>
      <c r="D37" s="482"/>
    </row>
    <row r="38" spans="1:4" ht="24" x14ac:dyDescent="0.3">
      <c r="A38" s="608" t="s">
        <v>286</v>
      </c>
      <c r="B38" s="482">
        <v>379958.71425949404</v>
      </c>
      <c r="C38" s="482">
        <v>218541.48310889813</v>
      </c>
      <c r="D38" s="482"/>
    </row>
    <row r="39" spans="1:4" ht="24" x14ac:dyDescent="0.3">
      <c r="A39" s="608" t="s">
        <v>287</v>
      </c>
      <c r="B39" s="482">
        <v>0</v>
      </c>
      <c r="C39" s="482">
        <v>0</v>
      </c>
      <c r="D39" s="482"/>
    </row>
    <row r="40" spans="1:4" ht="24" x14ac:dyDescent="0.3">
      <c r="A40" s="608" t="s">
        <v>288</v>
      </c>
      <c r="B40" s="482">
        <v>201297</v>
      </c>
      <c r="C40" s="482">
        <v>233821</v>
      </c>
      <c r="D40" s="482"/>
    </row>
    <row r="41" spans="1:4" ht="24" x14ac:dyDescent="0.3">
      <c r="A41" s="608" t="s">
        <v>289</v>
      </c>
      <c r="B41" s="482">
        <v>86392.806834649571</v>
      </c>
      <c r="C41" s="482">
        <v>99746</v>
      </c>
      <c r="D41" s="482"/>
    </row>
    <row r="42" spans="1:4" ht="24" x14ac:dyDescent="0.3">
      <c r="A42" s="608" t="s">
        <v>290</v>
      </c>
      <c r="B42" s="482">
        <v>0</v>
      </c>
      <c r="C42" s="482">
        <v>0</v>
      </c>
      <c r="D42" s="482"/>
    </row>
    <row r="43" spans="1:4" ht="24" x14ac:dyDescent="0.3">
      <c r="A43" s="608" t="s">
        <v>291</v>
      </c>
      <c r="B43" s="482">
        <v>0</v>
      </c>
      <c r="C43" s="482">
        <v>0</v>
      </c>
      <c r="D43" s="482"/>
    </row>
    <row r="44" spans="1:4" ht="24" x14ac:dyDescent="0.3">
      <c r="A44" s="477" t="s">
        <v>158</v>
      </c>
      <c r="B44" s="481">
        <v>200437</v>
      </c>
      <c r="C44" s="478"/>
      <c r="D44" s="479"/>
    </row>
    <row r="45" spans="1:4" ht="24" x14ac:dyDescent="0.3">
      <c r="A45" s="350" t="s">
        <v>88</v>
      </c>
      <c r="B45" s="351">
        <v>88708</v>
      </c>
      <c r="C45" s="352"/>
      <c r="D45" s="352"/>
    </row>
    <row r="46" spans="1:4" ht="24" x14ac:dyDescent="0.3">
      <c r="A46" s="350" t="s">
        <v>89</v>
      </c>
      <c r="B46" s="351">
        <v>382282</v>
      </c>
      <c r="C46" s="352"/>
      <c r="D46" s="352"/>
    </row>
    <row r="47" spans="1:4" ht="24" x14ac:dyDescent="0.3">
      <c r="A47" s="350" t="s">
        <v>159</v>
      </c>
      <c r="B47" s="351"/>
      <c r="C47" s="352"/>
      <c r="D47" s="352"/>
    </row>
    <row r="48" spans="1:4" ht="24" x14ac:dyDescent="0.3">
      <c r="A48" s="350" t="s">
        <v>90</v>
      </c>
      <c r="B48" s="351"/>
      <c r="C48" s="352"/>
      <c r="D48" s="352"/>
    </row>
    <row r="49" spans="1:4" ht="24" x14ac:dyDescent="0.3">
      <c r="A49" s="350" t="s">
        <v>91</v>
      </c>
      <c r="B49" s="351"/>
      <c r="C49" s="352"/>
      <c r="D49" s="352"/>
    </row>
    <row r="50" spans="1:4" ht="24" x14ac:dyDescent="0.3">
      <c r="A50" s="350" t="s">
        <v>92</v>
      </c>
      <c r="B50" s="351">
        <v>8766</v>
      </c>
      <c r="C50" s="352"/>
      <c r="D50" s="352"/>
    </row>
    <row r="51" spans="1:4" ht="24" x14ac:dyDescent="0.3">
      <c r="A51" s="350" t="s">
        <v>93</v>
      </c>
      <c r="B51" s="351">
        <v>146083</v>
      </c>
      <c r="C51" s="352"/>
      <c r="D51" s="352"/>
    </row>
    <row r="52" spans="1:4" ht="24" x14ac:dyDescent="0.3">
      <c r="A52" s="350" t="s">
        <v>94</v>
      </c>
      <c r="B52" s="351">
        <v>0</v>
      </c>
      <c r="C52" s="352"/>
      <c r="D52" s="352"/>
    </row>
    <row r="53" spans="1:4" ht="24" x14ac:dyDescent="0.3">
      <c r="A53" s="350" t="s">
        <v>95</v>
      </c>
      <c r="B53" s="351">
        <v>27</v>
      </c>
      <c r="C53" s="352"/>
      <c r="D53" s="352"/>
    </row>
    <row r="54" spans="1:4" ht="24" x14ac:dyDescent="0.3">
      <c r="A54" s="350" t="s">
        <v>96</v>
      </c>
      <c r="B54" s="351">
        <v>25122</v>
      </c>
      <c r="C54" s="352"/>
      <c r="D54" s="352"/>
    </row>
    <row r="55" spans="1:4" ht="24" x14ac:dyDescent="0.3">
      <c r="A55" s="475" t="s">
        <v>254</v>
      </c>
      <c r="B55" s="476">
        <v>841140</v>
      </c>
      <c r="C55" s="359">
        <v>1</v>
      </c>
      <c r="D55" s="480">
        <v>2.65</v>
      </c>
    </row>
    <row r="56" spans="1:4" ht="24" x14ac:dyDescent="0.3">
      <c r="A56" s="353" t="s">
        <v>255</v>
      </c>
      <c r="B56" s="354">
        <v>841140</v>
      </c>
      <c r="C56" s="355">
        <v>1</v>
      </c>
      <c r="D56" s="356">
        <v>1.7937498607364257</v>
      </c>
    </row>
    <row r="57" spans="1:4" ht="24" x14ac:dyDescent="0.3">
      <c r="A57" s="357" t="s">
        <v>256</v>
      </c>
      <c r="B57" s="354">
        <v>799464</v>
      </c>
      <c r="C57" s="355">
        <v>0.85</v>
      </c>
      <c r="D57" s="358">
        <v>0.93275003802393297</v>
      </c>
    </row>
    <row r="58" spans="1:4" ht="24" x14ac:dyDescent="0.3">
      <c r="A58" s="353" t="s">
        <v>257</v>
      </c>
      <c r="B58" s="354">
        <v>309440</v>
      </c>
      <c r="C58" s="355">
        <v>0.15</v>
      </c>
      <c r="D58" s="358">
        <v>1.1554858656662388</v>
      </c>
    </row>
    <row r="59" spans="1:4" ht="24" x14ac:dyDescent="0.3">
      <c r="A59" s="353" t="s">
        <v>258</v>
      </c>
      <c r="B59" s="354">
        <v>719345</v>
      </c>
      <c r="C59" s="355">
        <v>1</v>
      </c>
      <c r="D59" s="358">
        <v>6.7708475606506466</v>
      </c>
    </row>
    <row r="60" spans="1:4" ht="15.75" customHeight="1" x14ac:dyDescent="0.3">
      <c r="A60" s="353" t="s">
        <v>260</v>
      </c>
      <c r="B60" s="354"/>
      <c r="C60" s="355"/>
      <c r="D60" s="358">
        <v>12.73464883638535</v>
      </c>
    </row>
    <row r="61" spans="1:4" ht="15.75" customHeight="1" x14ac:dyDescent="0.3">
      <c r="A61" s="353" t="s">
        <v>261</v>
      </c>
      <c r="B61" s="353"/>
      <c r="C61" s="359"/>
      <c r="D61" s="360">
        <v>20.331616421326252</v>
      </c>
    </row>
    <row r="62" spans="1:4" ht="15.75" customHeight="1" x14ac:dyDescent="0.3">
      <c r="A62" s="353" t="s">
        <v>262</v>
      </c>
      <c r="B62" s="353"/>
      <c r="C62" s="359"/>
      <c r="D62" s="360">
        <v>8.225477491060424</v>
      </c>
    </row>
    <row r="63" spans="1:4" ht="15.75" customHeight="1" x14ac:dyDescent="0.3">
      <c r="A63" s="353" t="s">
        <v>263</v>
      </c>
      <c r="B63" s="353"/>
      <c r="C63" s="359"/>
      <c r="D63" s="360">
        <v>2.7579753151123789</v>
      </c>
    </row>
    <row r="64" spans="1:4" ht="15.75" customHeight="1" x14ac:dyDescent="0.3">
      <c r="A64" s="353" t="s">
        <v>263</v>
      </c>
      <c r="B64" s="353"/>
      <c r="C64" s="359"/>
      <c r="D64" s="360">
        <v>2.7579753151123789</v>
      </c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topLeftCell="B1" workbookViewId="0">
      <selection activeCell="J14" sqref="J14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790607.32597259618</v>
      </c>
      <c r="B1">
        <v>790607.32597259618</v>
      </c>
      <c r="C1" s="315">
        <v>0.60890535793133893</v>
      </c>
      <c r="D1" s="315">
        <v>0.60890535793133893</v>
      </c>
      <c r="E1" s="307">
        <v>0.01</v>
      </c>
      <c r="F1" s="308">
        <f t="shared" ref="F1:F27" si="0">D1*B1</f>
        <v>481405.03680448246</v>
      </c>
      <c r="G1" s="308"/>
      <c r="H1" s="312" t="s">
        <v>171</v>
      </c>
      <c r="I1" s="88"/>
      <c r="J1" s="88"/>
      <c r="K1" s="88"/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237279.98709421905</v>
      </c>
      <c r="B2">
        <v>237279.98709421905</v>
      </c>
      <c r="C2" s="315">
        <v>0.62970000000000004</v>
      </c>
      <c r="D2" s="315">
        <v>0.62970000000000004</v>
      </c>
      <c r="E2" s="307">
        <v>0.01</v>
      </c>
      <c r="F2" s="308">
        <f t="shared" si="0"/>
        <v>149415.20787322975</v>
      </c>
      <c r="G2" s="308"/>
      <c r="H2" s="312" t="s">
        <v>172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174169.60000000001</v>
      </c>
      <c r="B3">
        <v>174169.60000000001</v>
      </c>
      <c r="C3" s="315">
        <v>0.64370000000000005</v>
      </c>
      <c r="D3" s="315">
        <v>0.64370000000000005</v>
      </c>
      <c r="E3" s="307">
        <v>0.01</v>
      </c>
      <c r="F3" s="308">
        <f t="shared" si="0"/>
        <v>112112.97152000001</v>
      </c>
      <c r="G3" s="309"/>
      <c r="H3" s="312" t="s">
        <v>173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553327.33887837711</v>
      </c>
      <c r="B4">
        <v>553327.33887837711</v>
      </c>
      <c r="C4" s="315">
        <v>0.6</v>
      </c>
      <c r="D4" s="315">
        <v>0.6</v>
      </c>
      <c r="E4" s="307">
        <v>0.01</v>
      </c>
      <c r="F4" s="308">
        <f t="shared" si="0"/>
        <v>331996.40332702623</v>
      </c>
      <c r="G4" s="309"/>
      <c r="H4" s="312" t="s">
        <v>175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557257.31239999994</v>
      </c>
      <c r="B5">
        <v>557257.31239999994</v>
      </c>
      <c r="C5" s="315">
        <v>0.60880000000000001</v>
      </c>
      <c r="D5" s="315">
        <v>0.60880000000000001</v>
      </c>
      <c r="E5" s="307">
        <v>0.01</v>
      </c>
      <c r="F5" s="308">
        <f t="shared" si="0"/>
        <v>339258.25178911997</v>
      </c>
      <c r="G5" s="308"/>
      <c r="H5" s="313" t="s">
        <v>139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-545.27</v>
      </c>
      <c r="B6">
        <v>-545.27</v>
      </c>
      <c r="C6" s="315">
        <v>0.60880000000000001</v>
      </c>
      <c r="D6" s="315">
        <v>0.60880000000000001</v>
      </c>
      <c r="E6" s="307">
        <v>0.01</v>
      </c>
      <c r="F6" s="308">
        <f t="shared" si="0"/>
        <v>-331.960376</v>
      </c>
      <c r="G6" s="308"/>
      <c r="H6" s="313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556712.04239999992</v>
      </c>
      <c r="B7">
        <v>556712.04239999992</v>
      </c>
      <c r="C7" s="315">
        <v>0.60999257479888136</v>
      </c>
      <c r="D7" s="315">
        <v>0.60999257479888136</v>
      </c>
      <c r="E7" s="307">
        <v>0.01</v>
      </c>
      <c r="F7" s="308">
        <f t="shared" si="0"/>
        <v>339590.21216511994</v>
      </c>
      <c r="G7" s="308"/>
      <c r="H7" s="313" t="s">
        <v>140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80959.563825055302</v>
      </c>
      <c r="B8">
        <v>80959.563825055302</v>
      </c>
      <c r="C8" s="315">
        <v>8.3799220138465219E-2</v>
      </c>
      <c r="D8" s="315">
        <v>8.3799220138465219E-2</v>
      </c>
      <c r="E8" s="307">
        <v>0.01</v>
      </c>
      <c r="F8" s="308">
        <f t="shared" si="0"/>
        <v>6784.3483112899348</v>
      </c>
      <c r="G8" s="308"/>
      <c r="H8" s="313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475752.4785749446</v>
      </c>
      <c r="B9">
        <v>475752.4785749446</v>
      </c>
      <c r="C9" s="315">
        <v>0.68630000000000002</v>
      </c>
      <c r="D9" s="315">
        <v>0.68630000000000002</v>
      </c>
      <c r="E9" s="307">
        <v>0.01</v>
      </c>
      <c r="F9" s="308">
        <f t="shared" si="0"/>
        <v>326508.9260459845</v>
      </c>
      <c r="G9" s="308"/>
      <c r="H9" s="313" t="s">
        <v>141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466336.4785749446</v>
      </c>
      <c r="B10">
        <v>466336.4785749446</v>
      </c>
      <c r="C10" s="315">
        <v>0.68913249103666352</v>
      </c>
      <c r="D10" s="315">
        <v>0.68913249103666352</v>
      </c>
      <c r="E10" s="307">
        <v>0.01</v>
      </c>
      <c r="F10" s="308">
        <f t="shared" si="0"/>
        <v>321367.61914161727</v>
      </c>
      <c r="G10" s="308"/>
      <c r="H10" s="313" t="s">
        <v>142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12">
        <v>1</v>
      </c>
      <c r="B11" s="312">
        <v>1</v>
      </c>
      <c r="C11" s="316">
        <v>0.6</v>
      </c>
      <c r="D11" s="316">
        <v>0.6</v>
      </c>
      <c r="E11" s="307">
        <v>0.01</v>
      </c>
      <c r="F11" s="308">
        <f t="shared" si="0"/>
        <v>0.6</v>
      </c>
      <c r="G11" s="308"/>
      <c r="H11" s="313" t="s">
        <v>204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f>A13</f>
        <v>183369.18950000001</v>
      </c>
      <c r="B12">
        <f>B13</f>
        <v>183369.18950000001</v>
      </c>
      <c r="C12" s="315">
        <v>0.68834294588788836</v>
      </c>
      <c r="D12" s="315">
        <v>0.68834294588788836</v>
      </c>
      <c r="E12" s="307">
        <v>0.01</v>
      </c>
      <c r="F12" s="308">
        <f t="shared" si="0"/>
        <v>126220.88808550446</v>
      </c>
      <c r="G12" s="308"/>
      <c r="H12" s="313" t="s">
        <v>266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183369.18950000001</v>
      </c>
      <c r="B13">
        <v>183369.18950000001</v>
      </c>
      <c r="C13" s="317">
        <v>0.68834294588788836</v>
      </c>
      <c r="D13" s="317">
        <v>0.68834294588788836</v>
      </c>
      <c r="E13" s="307">
        <v>0.01</v>
      </c>
      <c r="F13" s="308">
        <f t="shared" si="0"/>
        <v>126220.88808550446</v>
      </c>
      <c r="G13" s="308"/>
      <c r="H13" s="313" t="s">
        <v>181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317">
        <v>0</v>
      </c>
      <c r="D14" s="317">
        <v>0</v>
      </c>
      <c r="E14" s="307">
        <v>0.01</v>
      </c>
      <c r="F14" s="308">
        <f t="shared" si="0"/>
        <v>0</v>
      </c>
      <c r="G14" s="308"/>
      <c r="H14" s="313" t="s">
        <v>183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274867.73500000004</v>
      </c>
      <c r="B15">
        <v>274867.73500000004</v>
      </c>
      <c r="C15" s="318">
        <v>0.68834294588788836</v>
      </c>
      <c r="D15" s="318">
        <v>0.68834294588788836</v>
      </c>
      <c r="E15" s="307">
        <v>0.01</v>
      </c>
      <c r="F15" s="308">
        <f t="shared" si="0"/>
        <v>189203.26643943146</v>
      </c>
      <c r="G15" s="308"/>
      <c r="H15" s="313" t="s">
        <v>143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332236.17460000003</v>
      </c>
      <c r="B16">
        <v>332236.17460000003</v>
      </c>
      <c r="C16" s="317">
        <v>0.68740042268907109</v>
      </c>
      <c r="D16" s="317">
        <v>0.68740042268907109</v>
      </c>
      <c r="E16" s="307">
        <v>0.01</v>
      </c>
      <c r="F16" s="308">
        <f t="shared" si="0"/>
        <v>228379.28685264004</v>
      </c>
      <c r="G16" s="308"/>
      <c r="H16" s="313" t="s">
        <v>189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13612.72</v>
      </c>
      <c r="B17">
        <v>13612.72</v>
      </c>
      <c r="C17" s="317">
        <v>0</v>
      </c>
      <c r="D17" s="317">
        <v>0</v>
      </c>
      <c r="E17" s="307">
        <v>0.01</v>
      </c>
      <c r="F17" s="308">
        <f t="shared" si="0"/>
        <v>0</v>
      </c>
      <c r="G17" s="308"/>
      <c r="H17" s="313" t="s">
        <v>194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288480.45500000002</v>
      </c>
      <c r="B18">
        <v>288480.45500000002</v>
      </c>
      <c r="C18" s="318">
        <v>0.65711473548083466</v>
      </c>
      <c r="D18" s="318">
        <v>0.65711473548083466</v>
      </c>
      <c r="E18" s="307">
        <v>0.01</v>
      </c>
      <c r="F18" s="308">
        <f t="shared" si="0"/>
        <v>189564.75787871584</v>
      </c>
      <c r="G18" s="308"/>
      <c r="H18" s="313" t="s">
        <v>198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5432.7</v>
      </c>
      <c r="B19">
        <v>5432.7</v>
      </c>
      <c r="C19" s="318">
        <v>0.65535413283291699</v>
      </c>
      <c r="D19" s="318">
        <v>0.65535413283291699</v>
      </c>
      <c r="E19" s="307">
        <v>0.01</v>
      </c>
      <c r="F19" s="308">
        <f t="shared" si="0"/>
        <v>3560.3423974413881</v>
      </c>
      <c r="G19" s="308"/>
      <c r="H19" s="313" t="s">
        <v>144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775</v>
      </c>
      <c r="B20">
        <v>775</v>
      </c>
      <c r="C20" s="318">
        <v>0</v>
      </c>
      <c r="D20" s="318">
        <v>0</v>
      </c>
      <c r="E20" s="307">
        <v>0.01</v>
      </c>
      <c r="F20" s="308">
        <f t="shared" si="0"/>
        <v>0</v>
      </c>
      <c r="G20" s="308"/>
      <c r="H20" s="313" t="s">
        <v>145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289255.45500000002</v>
      </c>
      <c r="B21">
        <v>289255.45500000002</v>
      </c>
      <c r="C21" s="318">
        <v>0.65535413283291699</v>
      </c>
      <c r="D21" s="318">
        <v>0.65535413283291699</v>
      </c>
      <c r="E21" s="307">
        <v>0.01</v>
      </c>
      <c r="F21" s="308">
        <f t="shared" si="0"/>
        <v>189564.75787871584</v>
      </c>
      <c r="G21" s="308"/>
      <c r="H21" s="313" t="s">
        <v>146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12496.205</v>
      </c>
      <c r="B22">
        <v>12496.205</v>
      </c>
      <c r="C22" s="318">
        <v>0.65535413283291699</v>
      </c>
      <c r="D22" s="318">
        <v>0.65535413283291699</v>
      </c>
      <c r="E22" s="307">
        <v>0.01</v>
      </c>
      <c r="F22" s="308">
        <f t="shared" si="0"/>
        <v>8189.4395914773613</v>
      </c>
      <c r="G22" s="308"/>
      <c r="H22" s="313" t="s">
        <v>147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271326.55</v>
      </c>
      <c r="B23">
        <v>271326.55</v>
      </c>
      <c r="C23" s="317">
        <v>0.65535413283291699</v>
      </c>
      <c r="D23" s="317">
        <v>0.65535413283291699</v>
      </c>
      <c r="E23" s="307">
        <v>0.01</v>
      </c>
      <c r="F23" s="308">
        <f t="shared" si="0"/>
        <v>177814.97588979709</v>
      </c>
      <c r="G23" s="308"/>
      <c r="H23" s="313" t="s">
        <v>148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32361.38</v>
      </c>
      <c r="B24">
        <v>32361.38</v>
      </c>
      <c r="C24" s="318">
        <v>0.65535413283291699</v>
      </c>
      <c r="D24" s="318">
        <v>0.65535413283291699</v>
      </c>
      <c r="E24" s="307">
        <v>0.01</v>
      </c>
      <c r="F24" s="308">
        <f t="shared" si="0"/>
        <v>21208.164127176504</v>
      </c>
      <c r="G24" s="308"/>
      <c r="H24" s="313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238058.12169999999</v>
      </c>
      <c r="B25">
        <v>238058.12169999999</v>
      </c>
      <c r="C25" s="319">
        <v>0.65506562002568458</v>
      </c>
      <c r="D25" s="319">
        <v>0.65506562002568458</v>
      </c>
      <c r="E25" s="307">
        <v>0.01</v>
      </c>
      <c r="F25" s="308">
        <f t="shared" si="0"/>
        <v>155943.69109356037</v>
      </c>
      <c r="G25" s="308"/>
      <c r="H25" s="313" t="s">
        <v>207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12">
        <v>0</v>
      </c>
      <c r="B26" s="312">
        <v>0</v>
      </c>
      <c r="C26" s="320">
        <v>0</v>
      </c>
      <c r="D26" s="320">
        <v>0</v>
      </c>
      <c r="E26" s="307">
        <v>0.01</v>
      </c>
      <c r="F26" s="308">
        <f t="shared" si="0"/>
        <v>0</v>
      </c>
      <c r="G26" s="308"/>
      <c r="H26" s="313" t="s">
        <v>267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12">
        <v>0</v>
      </c>
      <c r="B27" s="312">
        <v>0</v>
      </c>
      <c r="C27" s="315">
        <v>0</v>
      </c>
      <c r="D27" s="315">
        <v>0</v>
      </c>
      <c r="E27" s="307">
        <v>0.01</v>
      </c>
      <c r="F27" s="308">
        <f t="shared" si="0"/>
        <v>0</v>
      </c>
      <c r="G27" s="308"/>
      <c r="H27" s="314" t="s">
        <v>268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305"/>
      <c r="B28" s="305"/>
      <c r="C28" s="306"/>
      <c r="D28" s="306"/>
      <c r="E28" s="307"/>
      <c r="F28" s="308"/>
      <c r="G28" s="308"/>
      <c r="H28" s="308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305"/>
      <c r="B29" s="305"/>
      <c r="C29" s="306"/>
      <c r="D29" s="306"/>
      <c r="E29" s="307"/>
      <c r="F29" s="308"/>
      <c r="G29" s="308"/>
      <c r="H29" s="308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05"/>
      <c r="B30" s="305"/>
      <c r="C30" s="306"/>
      <c r="D30" s="306"/>
      <c r="E30" s="307"/>
      <c r="F30" s="308"/>
      <c r="G30" s="308"/>
      <c r="H30" s="308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305"/>
      <c r="B31" s="305"/>
      <c r="C31" s="306"/>
      <c r="D31" s="306"/>
      <c r="E31" s="307"/>
      <c r="F31" s="308"/>
      <c r="G31" s="308"/>
      <c r="H31" s="308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305"/>
      <c r="B32" s="305"/>
      <c r="C32" s="306"/>
      <c r="D32" s="306"/>
      <c r="E32" s="307"/>
      <c r="F32" s="308"/>
      <c r="G32" s="308"/>
      <c r="H32" s="308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305"/>
      <c r="B33" s="305"/>
      <c r="C33" s="306"/>
      <c r="D33" s="306"/>
      <c r="E33" s="307"/>
      <c r="F33" s="308"/>
      <c r="G33" s="308"/>
      <c r="H33" s="308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305"/>
      <c r="B34" s="305"/>
      <c r="C34" s="306"/>
      <c r="D34" s="306"/>
      <c r="E34" s="307"/>
      <c r="F34" s="308"/>
      <c r="G34" s="308"/>
      <c r="H34" s="308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305"/>
      <c r="B35" s="305"/>
      <c r="C35" s="306"/>
      <c r="D35" s="306"/>
      <c r="E35" s="307"/>
      <c r="F35" s="308"/>
      <c r="G35" s="308"/>
      <c r="H35" s="308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12"/>
      <c r="B36" s="312"/>
      <c r="C36" s="312"/>
      <c r="D36" s="312"/>
      <c r="E36" s="312"/>
      <c r="F36" s="312"/>
      <c r="G36" s="312"/>
      <c r="H36" s="312"/>
      <c r="I36" s="312"/>
      <c r="J36" s="312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12"/>
      <c r="B37" s="312"/>
      <c r="C37" s="312"/>
      <c r="D37" s="312"/>
      <c r="E37" s="312"/>
      <c r="F37" s="312"/>
      <c r="G37" s="312"/>
      <c r="H37" s="312"/>
      <c r="I37" s="312"/>
      <c r="J37" s="312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12"/>
      <c r="B38" s="312"/>
      <c r="C38" s="312"/>
      <c r="D38" s="312"/>
      <c r="E38" s="312"/>
      <c r="F38" s="312"/>
      <c r="G38" s="312"/>
      <c r="H38" s="312"/>
      <c r="I38" s="312"/>
      <c r="J38" s="312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12"/>
      <c r="B39" s="312"/>
      <c r="C39" s="312"/>
      <c r="D39" s="312"/>
      <c r="E39" s="312"/>
      <c r="F39" s="312"/>
      <c r="G39" s="312"/>
      <c r="H39" s="312"/>
      <c r="I39" s="312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13"/>
      <c r="B40" s="313"/>
      <c r="C40" s="313"/>
      <c r="D40" s="313"/>
      <c r="E40" s="313"/>
      <c r="F40" s="313"/>
      <c r="G40" s="313"/>
      <c r="H40" s="313"/>
      <c r="I40" s="313"/>
      <c r="J40" s="313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13"/>
      <c r="B41" s="313"/>
      <c r="C41" s="313"/>
      <c r="D41" s="313"/>
      <c r="E41" s="313"/>
      <c r="F41" s="313"/>
      <c r="G41" s="313"/>
      <c r="H41" s="313"/>
      <c r="I41" s="313"/>
      <c r="J41" s="313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13"/>
      <c r="B42" s="313"/>
      <c r="C42" s="313"/>
      <c r="D42" s="313"/>
      <c r="E42" s="313"/>
      <c r="F42" s="313"/>
      <c r="G42" s="313"/>
      <c r="H42" s="313"/>
      <c r="I42" s="313"/>
      <c r="J42" s="313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13"/>
      <c r="B43" s="313"/>
      <c r="C43" s="313"/>
      <c r="D43" s="313"/>
      <c r="E43" s="313"/>
      <c r="F43" s="313"/>
      <c r="G43" s="312"/>
      <c r="H43" s="313"/>
      <c r="I43" s="313"/>
      <c r="J43" s="313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13"/>
      <c r="B44" s="313"/>
      <c r="C44" s="313"/>
      <c r="D44" s="313"/>
      <c r="E44" s="313"/>
      <c r="F44" s="313"/>
      <c r="G44" s="313"/>
      <c r="H44" s="313"/>
      <c r="I44" s="313"/>
      <c r="J44" s="313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13"/>
      <c r="B45" s="313"/>
      <c r="C45" s="313"/>
      <c r="D45" s="313"/>
      <c r="E45" s="313"/>
      <c r="F45" s="313"/>
      <c r="G45" s="313"/>
      <c r="H45" s="313"/>
      <c r="I45" s="313"/>
      <c r="J45" s="313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13"/>
      <c r="B46" s="313"/>
      <c r="C46" s="313"/>
      <c r="D46" s="313"/>
      <c r="E46" s="313"/>
      <c r="F46" s="313"/>
      <c r="G46" s="313"/>
      <c r="H46" s="313"/>
      <c r="I46" s="313"/>
      <c r="J46" s="313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13"/>
      <c r="B47" s="313"/>
      <c r="C47" s="313"/>
      <c r="D47" s="313"/>
      <c r="E47" s="313"/>
      <c r="F47" s="313"/>
      <c r="G47" s="313"/>
      <c r="H47" s="313"/>
      <c r="I47" s="313"/>
      <c r="J47" s="313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13"/>
      <c r="B48" s="313"/>
      <c r="C48" s="313"/>
      <c r="D48" s="313"/>
      <c r="E48" s="313"/>
      <c r="F48" s="313"/>
      <c r="G48" s="313"/>
      <c r="H48" s="313"/>
      <c r="I48" s="313"/>
      <c r="J48" s="313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13"/>
      <c r="B49" s="313"/>
      <c r="C49" s="313"/>
      <c r="D49" s="313"/>
      <c r="E49" s="313"/>
      <c r="F49" s="313"/>
      <c r="G49" s="313"/>
      <c r="H49" s="313"/>
      <c r="I49" s="313"/>
      <c r="J49" s="313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13"/>
      <c r="B50" s="313"/>
      <c r="C50" s="313"/>
      <c r="D50" s="313"/>
      <c r="E50" s="313"/>
      <c r="F50" s="313"/>
      <c r="G50" s="313"/>
      <c r="H50" s="313"/>
      <c r="I50" s="313"/>
      <c r="J50" s="313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13"/>
      <c r="B51" s="313"/>
      <c r="C51" s="313"/>
      <c r="D51" s="313"/>
      <c r="E51" s="313"/>
      <c r="F51" s="313"/>
      <c r="G51" s="313"/>
      <c r="H51" s="313"/>
      <c r="I51" s="313"/>
      <c r="J51" s="313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13"/>
      <c r="B52" s="313"/>
      <c r="C52" s="313"/>
      <c r="D52" s="313"/>
      <c r="E52" s="313"/>
      <c r="F52" s="313"/>
      <c r="G52" s="313"/>
      <c r="H52" s="313"/>
      <c r="I52" s="313"/>
      <c r="J52" s="313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13"/>
      <c r="B53" s="313"/>
      <c r="C53" s="313"/>
      <c r="D53" s="313"/>
      <c r="E53" s="313"/>
      <c r="F53" s="313"/>
      <c r="G53" s="313"/>
      <c r="H53" s="313"/>
      <c r="I53" s="313"/>
      <c r="J53" s="313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13"/>
      <c r="B54" s="313"/>
      <c r="C54" s="313"/>
      <c r="D54" s="313"/>
      <c r="E54" s="313"/>
      <c r="F54" s="313"/>
      <c r="G54" s="313"/>
      <c r="H54" s="313"/>
      <c r="I54" s="313"/>
      <c r="J54" s="313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13"/>
      <c r="B55" s="313"/>
      <c r="C55" s="313"/>
      <c r="D55" s="313"/>
      <c r="E55" s="313"/>
      <c r="F55" s="313"/>
      <c r="G55" s="313"/>
      <c r="H55" s="313"/>
      <c r="I55" s="313"/>
      <c r="J55" s="313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13"/>
      <c r="B56" s="313"/>
      <c r="C56" s="313"/>
      <c r="D56" s="313"/>
      <c r="E56" s="313"/>
      <c r="F56" s="313"/>
      <c r="G56" s="313"/>
      <c r="H56" s="313"/>
      <c r="I56" s="313"/>
      <c r="J56" s="313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13"/>
      <c r="B57" s="313"/>
      <c r="C57" s="313"/>
      <c r="D57" s="313"/>
      <c r="E57" s="313"/>
      <c r="F57" s="313"/>
      <c r="G57" s="313"/>
      <c r="H57" s="313"/>
      <c r="I57" s="313"/>
      <c r="J57" s="313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13"/>
      <c r="B58" s="313"/>
      <c r="C58" s="313"/>
      <c r="D58" s="313"/>
      <c r="E58" s="313"/>
      <c r="F58" s="313"/>
      <c r="G58" s="313"/>
      <c r="H58" s="313"/>
      <c r="I58" s="313"/>
      <c r="J58" s="313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13"/>
      <c r="B59" s="313"/>
      <c r="C59" s="313"/>
      <c r="D59" s="313"/>
      <c r="E59" s="313"/>
      <c r="F59" s="313"/>
      <c r="G59" s="313"/>
      <c r="H59" s="313"/>
      <c r="I59" s="313"/>
      <c r="J59" s="313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13"/>
      <c r="B60" s="313"/>
      <c r="C60" s="313"/>
      <c r="D60" s="313"/>
      <c r="E60" s="313"/>
      <c r="F60" s="313"/>
      <c r="G60" s="313"/>
      <c r="H60" s="313"/>
      <c r="I60" s="313"/>
      <c r="J60" s="313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13"/>
      <c r="B61" s="313"/>
      <c r="C61" s="313"/>
      <c r="D61" s="313"/>
      <c r="E61" s="313"/>
      <c r="F61" s="313"/>
      <c r="G61" s="313"/>
      <c r="H61" s="313"/>
      <c r="I61" s="313"/>
      <c r="J61" s="313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14"/>
      <c r="B62" s="314"/>
      <c r="C62" s="314"/>
      <c r="D62" s="314"/>
      <c r="E62" s="314"/>
      <c r="F62" s="314"/>
      <c r="G62" s="314"/>
      <c r="H62" s="314"/>
      <c r="I62" s="314"/>
      <c r="J62" s="314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308"/>
      <c r="B63" s="307"/>
      <c r="C63" s="307"/>
      <c r="D63" s="308"/>
      <c r="E63" s="307"/>
      <c r="F63" s="308"/>
      <c r="G63" s="308"/>
      <c r="H63" s="308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308"/>
      <c r="B64" s="308"/>
      <c r="C64" s="308"/>
      <c r="D64" s="308"/>
      <c r="E64" s="307"/>
      <c r="F64" s="308"/>
      <c r="G64" s="308"/>
      <c r="H64" s="308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308"/>
      <c r="B65" s="308"/>
      <c r="C65" s="308"/>
      <c r="D65" s="308"/>
      <c r="E65" s="307"/>
      <c r="F65" s="308"/>
      <c r="G65" s="308"/>
      <c r="H65" s="308"/>
      <c r="I65" s="88"/>
      <c r="J65" s="88"/>
      <c r="K65" s="569"/>
      <c r="L65" s="570"/>
      <c r="M65" s="88"/>
      <c r="N65" s="571" t="s">
        <v>46</v>
      </c>
      <c r="O65" s="572"/>
      <c r="P65" s="570"/>
      <c r="Q65" s="93"/>
      <c r="R65" s="573"/>
      <c r="S65" s="574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308"/>
      <c r="B66" s="308"/>
      <c r="C66" s="308"/>
      <c r="D66" s="308"/>
      <c r="E66" s="307"/>
      <c r="F66" s="308"/>
      <c r="G66" s="308"/>
      <c r="H66" s="308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133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308"/>
      <c r="B67" s="308"/>
      <c r="C67" s="308"/>
      <c r="D67" s="308"/>
      <c r="E67" s="307"/>
      <c r="F67" s="308"/>
      <c r="G67" s="308"/>
      <c r="H67" s="308"/>
      <c r="I67" s="88"/>
      <c r="J67" s="88"/>
      <c r="K67" s="99"/>
      <c r="L67" s="100"/>
      <c r="M67" s="88"/>
      <c r="N67" s="93">
        <f t="shared" ref="N67:N68" si="1">B1</f>
        <v>790607.32597259618</v>
      </c>
      <c r="O67" s="87">
        <f t="shared" ref="O67:O126" si="2">IF(D$1&gt;1,D1/100,D1)</f>
        <v>0.60890535793133893</v>
      </c>
      <c r="P67" s="101">
        <f t="shared" ref="P67:P126" si="3">N67*O67</f>
        <v>481405.03680448246</v>
      </c>
      <c r="Q67" s="102">
        <f t="shared" ref="Q67:Q126" si="4">E1</f>
        <v>0.01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308"/>
      <c r="B68" s="308"/>
      <c r="C68" s="308"/>
      <c r="D68" s="308"/>
      <c r="E68" s="307"/>
      <c r="F68" s="308"/>
      <c r="G68" s="308"/>
      <c r="H68" s="308"/>
      <c r="I68" s="88"/>
      <c r="J68" s="88"/>
      <c r="K68" s="106"/>
      <c r="L68" s="87"/>
      <c r="M68" s="107"/>
      <c r="N68" s="93">
        <f t="shared" si="1"/>
        <v>237279.98709421905</v>
      </c>
      <c r="O68" s="87">
        <f t="shared" si="2"/>
        <v>0.62970000000000004</v>
      </c>
      <c r="P68" s="101">
        <f t="shared" si="3"/>
        <v>149415.20787322975</v>
      </c>
      <c r="Q68" s="102">
        <f t="shared" si="4"/>
        <v>0.01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308"/>
      <c r="B69" s="308"/>
      <c r="C69" s="308"/>
      <c r="D69" s="308"/>
      <c r="E69" s="307"/>
      <c r="F69" s="308"/>
      <c r="G69" s="308"/>
      <c r="H69" s="308"/>
      <c r="I69" s="88"/>
      <c r="J69" s="88"/>
      <c r="K69" s="106"/>
      <c r="L69" s="87"/>
      <c r="M69" s="88"/>
      <c r="N69" s="1">
        <v>642376.55039999995</v>
      </c>
      <c r="O69" s="87">
        <f t="shared" si="2"/>
        <v>0.64370000000000005</v>
      </c>
      <c r="P69" s="101">
        <f t="shared" si="3"/>
        <v>413497.78549247998</v>
      </c>
      <c r="Q69" s="102">
        <f t="shared" si="4"/>
        <v>0.01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308"/>
      <c r="B70" s="308"/>
      <c r="C70" s="308"/>
      <c r="D70" s="310"/>
      <c r="E70" s="307"/>
      <c r="F70" s="311"/>
      <c r="G70" s="308"/>
      <c r="H70" s="308"/>
      <c r="I70" s="88"/>
      <c r="J70" s="88"/>
      <c r="K70" s="106"/>
      <c r="L70" s="87"/>
      <c r="M70" s="88"/>
      <c r="N70" s="93">
        <f t="shared" ref="N70:N126" si="5">B4</f>
        <v>553327.33887837711</v>
      </c>
      <c r="O70" s="87">
        <f t="shared" si="2"/>
        <v>0.6</v>
      </c>
      <c r="P70" s="101">
        <f t="shared" si="3"/>
        <v>331996.40332702623</v>
      </c>
      <c r="Q70" s="102">
        <f t="shared" si="4"/>
        <v>0.01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308"/>
      <c r="B71" s="308"/>
      <c r="C71" s="308"/>
      <c r="D71" s="308"/>
      <c r="E71" s="307"/>
      <c r="F71" s="308"/>
      <c r="G71" s="308"/>
      <c r="H71" s="308"/>
      <c r="I71" s="88"/>
      <c r="J71" s="88"/>
      <c r="K71" s="106"/>
      <c r="L71" s="87"/>
      <c r="M71" s="88"/>
      <c r="N71" s="93">
        <f t="shared" si="5"/>
        <v>557257.31239999994</v>
      </c>
      <c r="O71" s="87">
        <f t="shared" si="2"/>
        <v>0.60880000000000001</v>
      </c>
      <c r="P71" s="101">
        <f t="shared" si="3"/>
        <v>339258.25178911997</v>
      </c>
      <c r="Q71" s="102">
        <f t="shared" si="4"/>
        <v>0.01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308"/>
      <c r="B72" s="308"/>
      <c r="C72" s="308"/>
      <c r="D72" s="310"/>
      <c r="E72" s="307"/>
      <c r="F72" s="311"/>
      <c r="G72" s="308"/>
      <c r="H72" s="308"/>
      <c r="I72" s="88"/>
      <c r="J72" s="88"/>
      <c r="K72" s="106"/>
      <c r="L72" s="87"/>
      <c r="M72" s="88"/>
      <c r="N72" s="93">
        <f t="shared" si="5"/>
        <v>-545.27</v>
      </c>
      <c r="O72" s="87">
        <f t="shared" si="2"/>
        <v>0.60880000000000001</v>
      </c>
      <c r="P72" s="101">
        <f t="shared" si="3"/>
        <v>-331.960376</v>
      </c>
      <c r="Q72" s="102">
        <f t="shared" si="4"/>
        <v>0.01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556712.04239999992</v>
      </c>
      <c r="O73" s="87">
        <f t="shared" si="2"/>
        <v>0.60999257479888136</v>
      </c>
      <c r="P73" s="101">
        <f t="shared" si="3"/>
        <v>339590.21216511994</v>
      </c>
      <c r="Q73" s="102">
        <f t="shared" si="4"/>
        <v>0.01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80959.563825055302</v>
      </c>
      <c r="O74" s="87">
        <f t="shared" si="2"/>
        <v>8.3799220138465219E-2</v>
      </c>
      <c r="P74" s="101">
        <f t="shared" si="3"/>
        <v>6784.3483112899348</v>
      </c>
      <c r="Q74" s="102">
        <f t="shared" si="4"/>
        <v>0.01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475752.4785749446</v>
      </c>
      <c r="O75" s="87">
        <f t="shared" si="2"/>
        <v>0.68630000000000002</v>
      </c>
      <c r="P75" s="101">
        <f t="shared" si="3"/>
        <v>326508.9260459845</v>
      </c>
      <c r="Q75" s="102">
        <f t="shared" si="4"/>
        <v>0.01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466336.4785749446</v>
      </c>
      <c r="O76" s="87">
        <f t="shared" si="2"/>
        <v>0.68913249103666352</v>
      </c>
      <c r="P76" s="101">
        <f t="shared" si="3"/>
        <v>321367.61914161727</v>
      </c>
      <c r="Q76" s="102">
        <f t="shared" si="4"/>
        <v>0.01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1</v>
      </c>
      <c r="O77" s="87">
        <f t="shared" si="2"/>
        <v>0.6</v>
      </c>
      <c r="P77" s="101">
        <f t="shared" si="3"/>
        <v>0.6</v>
      </c>
      <c r="Q77" s="102">
        <f t="shared" si="4"/>
        <v>0.01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183369.18950000001</v>
      </c>
      <c r="O78" s="87">
        <f t="shared" si="2"/>
        <v>0.68834294588788836</v>
      </c>
      <c r="P78" s="101">
        <f t="shared" si="3"/>
        <v>126220.88808550446</v>
      </c>
      <c r="Q78" s="102">
        <f t="shared" si="4"/>
        <v>0.01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183369.18950000001</v>
      </c>
      <c r="O79" s="87">
        <f t="shared" si="2"/>
        <v>0.68834294588788836</v>
      </c>
      <c r="P79" s="101">
        <f t="shared" si="3"/>
        <v>126220.88808550446</v>
      </c>
      <c r="Q79" s="102">
        <f t="shared" si="4"/>
        <v>0.01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</v>
      </c>
      <c r="P80" s="101">
        <f t="shared" si="3"/>
        <v>0</v>
      </c>
      <c r="Q80" s="102">
        <f t="shared" si="4"/>
        <v>0.01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274867.73500000004</v>
      </c>
      <c r="O81" s="87">
        <f t="shared" si="2"/>
        <v>0.68834294588788836</v>
      </c>
      <c r="P81" s="101">
        <f t="shared" si="3"/>
        <v>189203.26643943146</v>
      </c>
      <c r="Q81" s="102">
        <f t="shared" si="4"/>
        <v>0.01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332236.17460000003</v>
      </c>
      <c r="O82" s="87">
        <f t="shared" si="2"/>
        <v>0.68740042268907109</v>
      </c>
      <c r="P82" s="101">
        <f t="shared" si="3"/>
        <v>228379.28685264004</v>
      </c>
      <c r="Q82" s="102">
        <f t="shared" si="4"/>
        <v>0.01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13612.72</v>
      </c>
      <c r="O83" s="87">
        <f t="shared" si="2"/>
        <v>0</v>
      </c>
      <c r="P83" s="101">
        <f t="shared" si="3"/>
        <v>0</v>
      </c>
      <c r="Q83" s="102">
        <f t="shared" si="4"/>
        <v>0.01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288480.45500000002</v>
      </c>
      <c r="O84" s="87">
        <f t="shared" si="2"/>
        <v>0.65711473548083466</v>
      </c>
      <c r="P84" s="101">
        <f t="shared" si="3"/>
        <v>189564.75787871584</v>
      </c>
      <c r="Q84" s="102">
        <f t="shared" si="4"/>
        <v>0.01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5432.7</v>
      </c>
      <c r="O85" s="87">
        <f t="shared" si="2"/>
        <v>0.65535413283291699</v>
      </c>
      <c r="P85" s="101">
        <f t="shared" si="3"/>
        <v>3560.3423974413881</v>
      </c>
      <c r="Q85" s="102">
        <f t="shared" si="4"/>
        <v>0.01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775</v>
      </c>
      <c r="O86" s="87">
        <f t="shared" si="2"/>
        <v>0</v>
      </c>
      <c r="P86" s="101">
        <f t="shared" si="3"/>
        <v>0</v>
      </c>
      <c r="Q86" s="102">
        <f t="shared" si="4"/>
        <v>0.01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289255.45500000002</v>
      </c>
      <c r="O87" s="87">
        <f t="shared" si="2"/>
        <v>0.65535413283291699</v>
      </c>
      <c r="P87" s="101">
        <f t="shared" si="3"/>
        <v>189564.75787871584</v>
      </c>
      <c r="Q87" s="102">
        <f t="shared" si="4"/>
        <v>0.01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12496.205</v>
      </c>
      <c r="O88" s="87">
        <f t="shared" si="2"/>
        <v>0.65535413283291699</v>
      </c>
      <c r="P88" s="101">
        <f t="shared" si="3"/>
        <v>8189.4395914773613</v>
      </c>
      <c r="Q88" s="102">
        <f t="shared" si="4"/>
        <v>0.01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271326.55</v>
      </c>
      <c r="O89" s="87">
        <f t="shared" si="2"/>
        <v>0.65535413283291699</v>
      </c>
      <c r="P89" s="101">
        <f t="shared" si="3"/>
        <v>177814.97588979709</v>
      </c>
      <c r="Q89" s="102">
        <f t="shared" si="4"/>
        <v>0.01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32361.38</v>
      </c>
      <c r="O90" s="87">
        <f t="shared" si="2"/>
        <v>0.65535413283291699</v>
      </c>
      <c r="P90" s="101">
        <f t="shared" si="3"/>
        <v>21208.164127176504</v>
      </c>
      <c r="Q90" s="102">
        <f t="shared" si="4"/>
        <v>0.01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238058.12169999999</v>
      </c>
      <c r="O91" s="87">
        <f t="shared" si="2"/>
        <v>0.65506562002568458</v>
      </c>
      <c r="P91" s="101">
        <f t="shared" si="3"/>
        <v>155943.69109356037</v>
      </c>
      <c r="Q91" s="102">
        <f t="shared" si="4"/>
        <v>0.01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0.01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0</v>
      </c>
      <c r="O93" s="87">
        <f t="shared" si="2"/>
        <v>0</v>
      </c>
      <c r="P93" s="101">
        <f t="shared" si="3"/>
        <v>0</v>
      </c>
      <c r="Q93" s="102">
        <f t="shared" si="4"/>
        <v>0.01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0</v>
      </c>
      <c r="O94" s="87">
        <f t="shared" si="2"/>
        <v>0</v>
      </c>
      <c r="P94" s="101">
        <f t="shared" si="3"/>
        <v>0</v>
      </c>
      <c r="Q94" s="102">
        <f t="shared" si="4"/>
        <v>0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0</v>
      </c>
      <c r="O95" s="87">
        <f t="shared" si="2"/>
        <v>0</v>
      </c>
      <c r="P95" s="101">
        <f t="shared" si="3"/>
        <v>0</v>
      </c>
      <c r="Q95" s="102">
        <f t="shared" si="4"/>
        <v>0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0</v>
      </c>
      <c r="O96" s="87">
        <f t="shared" si="2"/>
        <v>0</v>
      </c>
      <c r="P96" s="101">
        <f t="shared" si="3"/>
        <v>0</v>
      </c>
      <c r="Q96" s="102">
        <f t="shared" si="4"/>
        <v>0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0</v>
      </c>
      <c r="O97" s="87">
        <f t="shared" si="2"/>
        <v>0</v>
      </c>
      <c r="P97" s="101">
        <f t="shared" si="3"/>
        <v>0</v>
      </c>
      <c r="Q97" s="102">
        <f t="shared" si="4"/>
        <v>0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0</v>
      </c>
      <c r="O98" s="87">
        <f t="shared" si="2"/>
        <v>0</v>
      </c>
      <c r="P98" s="101">
        <f t="shared" si="3"/>
        <v>0</v>
      </c>
      <c r="Q98" s="102">
        <f t="shared" si="4"/>
        <v>0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0</v>
      </c>
      <c r="O99" s="87">
        <f t="shared" si="2"/>
        <v>0</v>
      </c>
      <c r="P99" s="101">
        <f t="shared" si="3"/>
        <v>0</v>
      </c>
      <c r="Q99" s="102">
        <f t="shared" si="4"/>
        <v>0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0</v>
      </c>
      <c r="O100" s="87">
        <f t="shared" si="2"/>
        <v>0</v>
      </c>
      <c r="P100" s="101">
        <f t="shared" si="3"/>
        <v>0</v>
      </c>
      <c r="Q100" s="102">
        <f t="shared" si="4"/>
        <v>0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0</v>
      </c>
      <c r="O101" s="87">
        <f t="shared" si="2"/>
        <v>0</v>
      </c>
      <c r="P101" s="101">
        <f t="shared" si="3"/>
        <v>0</v>
      </c>
      <c r="Q101" s="102">
        <f t="shared" si="4"/>
        <v>0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</v>
      </c>
      <c r="P102" s="101">
        <f t="shared" si="3"/>
        <v>0</v>
      </c>
      <c r="Q102" s="102">
        <f t="shared" si="4"/>
        <v>0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</v>
      </c>
      <c r="P103" s="101">
        <f t="shared" si="3"/>
        <v>0</v>
      </c>
      <c r="Q103" s="102">
        <f t="shared" si="4"/>
        <v>0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75"/>
      <c r="L129" s="570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topLeftCell="C15" workbookViewId="0">
      <selection activeCell="D35" sqref="D35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76" t="s">
        <v>134</v>
      </c>
      <c r="C2" s="577"/>
      <c r="D2" s="578"/>
      <c r="F2" s="576" t="s">
        <v>135</v>
      </c>
      <c r="G2" s="577"/>
      <c r="H2" s="578"/>
      <c r="J2" s="579" t="s">
        <v>136</v>
      </c>
      <c r="K2" s="552"/>
      <c r="L2" s="115"/>
      <c r="M2" s="116" t="s">
        <v>48</v>
      </c>
      <c r="N2" s="117" t="s">
        <v>137</v>
      </c>
    </row>
    <row r="3" spans="2:18" ht="24" x14ac:dyDescent="0.3">
      <c r="B3" s="118" t="s">
        <v>138</v>
      </c>
      <c r="C3" s="119" t="s">
        <v>40</v>
      </c>
      <c r="D3" s="119" t="s">
        <v>2</v>
      </c>
      <c r="F3" s="118" t="s">
        <v>138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138</v>
      </c>
      <c r="R3" s="119" t="s">
        <v>133</v>
      </c>
    </row>
    <row r="4" spans="2:18" ht="24" x14ac:dyDescent="0.3">
      <c r="B4" s="118" t="s">
        <v>171</v>
      </c>
      <c r="C4" s="123">
        <f>Utilidad!A1</f>
        <v>790607.32597259618</v>
      </c>
      <c r="D4" s="124">
        <f>IF(Utilidad!C1&gt;1,Utilidad!C1/100,Utilidad!C1)</f>
        <v>0.60890535793133893</v>
      </c>
      <c r="F4" s="118" t="s">
        <v>171</v>
      </c>
      <c r="G4" s="123">
        <f>Utilidad!B1</f>
        <v>790607.32597259618</v>
      </c>
      <c r="H4" s="124">
        <f>IF(Utilidad!D1&gt;1,Utilidad!D1/100,Utilidad!D1)</f>
        <v>0.60890535793133893</v>
      </c>
      <c r="J4" s="125">
        <f t="shared" ref="J4:J30" si="0">+IF(C4&lt;&gt;0,(G4-C4)/C4,ABS(G4-C4))</f>
        <v>0</v>
      </c>
      <c r="K4" s="125">
        <f t="shared" ref="K4:K30" si="1">+IF(D4&lt;&gt;0,(H4-D4)/D4,0)</f>
        <v>0</v>
      </c>
      <c r="L4" s="126"/>
      <c r="M4" s="127">
        <f t="shared" ref="M4:M30" si="2">+IF(J4&lt;&gt;"",ABS(J4),0)</f>
        <v>0</v>
      </c>
      <c r="N4" s="127">
        <f t="shared" ref="N4:N30" si="3">+IF(J4&lt;&gt;"",ABS(K4),0)</f>
        <v>0</v>
      </c>
      <c r="Q4" s="118" t="s">
        <v>171</v>
      </c>
      <c r="R4" s="124">
        <f>Utilidad!E1</f>
        <v>0.01</v>
      </c>
    </row>
    <row r="5" spans="2:18" ht="24" x14ac:dyDescent="0.3">
      <c r="B5" s="118" t="s">
        <v>172</v>
      </c>
      <c r="C5" s="123">
        <f>Utilidad!A2</f>
        <v>237279.98709421905</v>
      </c>
      <c r="D5" s="124">
        <f>IF(Utilidad!C2&gt;1,Utilidad!C2/100,Utilidad!C2)</f>
        <v>0.62970000000000004</v>
      </c>
      <c r="F5" s="118" t="s">
        <v>172</v>
      </c>
      <c r="G5" s="123">
        <f>Utilidad!B2</f>
        <v>237279.98709421905</v>
      </c>
      <c r="H5" s="124">
        <f>IF(Utilidad!D2&gt;1,Utilidad!D2/100,Utilidad!D2)</f>
        <v>0.62970000000000004</v>
      </c>
      <c r="J5" s="125">
        <f t="shared" si="0"/>
        <v>0</v>
      </c>
      <c r="K5" s="125">
        <f t="shared" si="1"/>
        <v>0</v>
      </c>
      <c r="L5" s="126"/>
      <c r="M5" s="127">
        <f t="shared" si="2"/>
        <v>0</v>
      </c>
      <c r="N5" s="127">
        <f t="shared" si="3"/>
        <v>0</v>
      </c>
      <c r="Q5" s="118" t="s">
        <v>172</v>
      </c>
      <c r="R5" s="124">
        <f>Utilidad!E2</f>
        <v>0.01</v>
      </c>
    </row>
    <row r="6" spans="2:18" ht="24" x14ac:dyDescent="0.3">
      <c r="B6" s="118" t="s">
        <v>173</v>
      </c>
      <c r="C6" s="123">
        <f>Utilidad!A3</f>
        <v>174169.60000000001</v>
      </c>
      <c r="D6" s="124">
        <f>IF(Utilidad!C3&gt;1,Utilidad!C3/100,Utilidad!C3)</f>
        <v>0.64370000000000005</v>
      </c>
      <c r="F6" s="118" t="s">
        <v>173</v>
      </c>
      <c r="G6" s="123">
        <f>Utilidad!B3</f>
        <v>174169.60000000001</v>
      </c>
      <c r="H6" s="124">
        <f>IF(Utilidad!D3&gt;1,Utilidad!D3/100,Utilidad!D3)</f>
        <v>0.64370000000000005</v>
      </c>
      <c r="J6" s="125">
        <f t="shared" si="0"/>
        <v>0</v>
      </c>
      <c r="K6" s="125">
        <f t="shared" si="1"/>
        <v>0</v>
      </c>
      <c r="L6" s="1"/>
      <c r="M6" s="127">
        <f t="shared" si="2"/>
        <v>0</v>
      </c>
      <c r="N6" s="127">
        <f t="shared" si="3"/>
        <v>0</v>
      </c>
      <c r="Q6" s="118" t="s">
        <v>173</v>
      </c>
      <c r="R6" s="124">
        <f>Utilidad!E3</f>
        <v>0.01</v>
      </c>
    </row>
    <row r="7" spans="2:18" ht="24" x14ac:dyDescent="0.3">
      <c r="B7" s="118" t="s">
        <v>175</v>
      </c>
      <c r="C7" s="123">
        <f>Utilidad!A4</f>
        <v>553327.33887837711</v>
      </c>
      <c r="D7" s="124">
        <f>IF(Utilidad!C4&gt;1,Utilidad!C4/100,Utilidad!C4)</f>
        <v>0.6</v>
      </c>
      <c r="F7" s="118" t="s">
        <v>175</v>
      </c>
      <c r="G7" s="123">
        <f>Utilidad!B4</f>
        <v>553327.33887837711</v>
      </c>
      <c r="H7" s="124">
        <f>IF(Utilidad!D4&gt;1,Utilidad!D4/100,Utilidad!D4)</f>
        <v>0.6</v>
      </c>
      <c r="J7" s="125">
        <f t="shared" si="0"/>
        <v>0</v>
      </c>
      <c r="K7" s="125">
        <f t="shared" si="1"/>
        <v>0</v>
      </c>
      <c r="L7" s="1"/>
      <c r="M7" s="127">
        <f t="shared" si="2"/>
        <v>0</v>
      </c>
      <c r="N7" s="127">
        <f t="shared" si="3"/>
        <v>0</v>
      </c>
      <c r="Q7" s="118" t="s">
        <v>175</v>
      </c>
      <c r="R7" s="124">
        <f>Utilidad!E4</f>
        <v>0.01</v>
      </c>
    </row>
    <row r="8" spans="2:18" ht="24" x14ac:dyDescent="0.3">
      <c r="B8" s="118" t="s">
        <v>139</v>
      </c>
      <c r="C8" s="123">
        <f>Utilidad!A5</f>
        <v>557257.31239999994</v>
      </c>
      <c r="D8" s="124">
        <f>IF(Utilidad!C5&gt;1,Utilidad!C5/100,Utilidad!C5)</f>
        <v>0.60880000000000001</v>
      </c>
      <c r="F8" s="118" t="s">
        <v>139</v>
      </c>
      <c r="G8" s="123">
        <f>Utilidad!B5</f>
        <v>557257.31239999994</v>
      </c>
      <c r="H8" s="124">
        <f>IF(Utilidad!D5&gt;1,Utilidad!D5/100,Utilidad!D5)</f>
        <v>0.60880000000000001</v>
      </c>
      <c r="J8" s="125">
        <f t="shared" si="0"/>
        <v>0</v>
      </c>
      <c r="K8" s="125">
        <f t="shared" si="1"/>
        <v>0</v>
      </c>
      <c r="L8" s="1"/>
      <c r="M8" s="127">
        <f t="shared" si="2"/>
        <v>0</v>
      </c>
      <c r="N8" s="127">
        <f t="shared" si="3"/>
        <v>0</v>
      </c>
      <c r="Q8" s="118" t="s">
        <v>139</v>
      </c>
      <c r="R8" s="124">
        <f>Utilidad!E5</f>
        <v>0.01</v>
      </c>
    </row>
    <row r="9" spans="2:18" ht="24" x14ac:dyDescent="0.3">
      <c r="B9" s="118" t="s">
        <v>8</v>
      </c>
      <c r="C9" s="123">
        <f>Utilidad!A6</f>
        <v>-545.27</v>
      </c>
      <c r="D9" s="124">
        <f>IF(Utilidad!C6&gt;1,Utilidad!C6/100,Utilidad!C6)</f>
        <v>0.60880000000000001</v>
      </c>
      <c r="F9" s="118" t="s">
        <v>8</v>
      </c>
      <c r="G9" s="123">
        <f>Utilidad!B6</f>
        <v>-545.27</v>
      </c>
      <c r="H9" s="124">
        <f>IF(Utilidad!D6&gt;1,Utilidad!D6/100,Utilidad!D6)</f>
        <v>0.60880000000000001</v>
      </c>
      <c r="J9" s="125">
        <f t="shared" si="0"/>
        <v>0</v>
      </c>
      <c r="K9" s="125">
        <f t="shared" si="1"/>
        <v>0</v>
      </c>
      <c r="L9" s="1"/>
      <c r="M9" s="127">
        <f t="shared" si="2"/>
        <v>0</v>
      </c>
      <c r="N9" s="127">
        <f t="shared" si="3"/>
        <v>0</v>
      </c>
      <c r="Q9" s="118" t="s">
        <v>8</v>
      </c>
      <c r="R9" s="124">
        <f>Utilidad!E6</f>
        <v>0.01</v>
      </c>
    </row>
    <row r="10" spans="2:18" ht="24" x14ac:dyDescent="0.3">
      <c r="B10" s="118" t="s">
        <v>140</v>
      </c>
      <c r="C10" s="123">
        <f>Utilidad!A7</f>
        <v>556712.04239999992</v>
      </c>
      <c r="D10" s="124">
        <f>IF(Utilidad!C7&gt;1,Utilidad!C7/100,Utilidad!C7)</f>
        <v>0.60999257479888136</v>
      </c>
      <c r="F10" s="118" t="s">
        <v>140</v>
      </c>
      <c r="G10" s="123">
        <f>Utilidad!B7</f>
        <v>556712.04239999992</v>
      </c>
      <c r="H10" s="124">
        <f>IF(Utilidad!D7&gt;1,Utilidad!D7/100,Utilidad!D7)</f>
        <v>0.60999257479888136</v>
      </c>
      <c r="J10" s="125">
        <f t="shared" si="0"/>
        <v>0</v>
      </c>
      <c r="K10" s="125">
        <f t="shared" si="1"/>
        <v>0</v>
      </c>
      <c r="L10" s="1"/>
      <c r="M10" s="127">
        <f t="shared" si="2"/>
        <v>0</v>
      </c>
      <c r="N10" s="127">
        <f t="shared" si="3"/>
        <v>0</v>
      </c>
      <c r="Q10" s="118" t="s">
        <v>140</v>
      </c>
      <c r="R10" s="124">
        <f>Utilidad!E7</f>
        <v>0.01</v>
      </c>
    </row>
    <row r="11" spans="2:18" ht="24" x14ac:dyDescent="0.3">
      <c r="B11" s="118" t="s">
        <v>87</v>
      </c>
      <c r="C11" s="123">
        <f>Utilidad!A8</f>
        <v>80959.563825055302</v>
      </c>
      <c r="D11" s="124">
        <f>IF(Utilidad!C8&gt;1,Utilidad!C8/100,Utilidad!C8)</f>
        <v>8.3799220138465219E-2</v>
      </c>
      <c r="F11" s="118" t="s">
        <v>87</v>
      </c>
      <c r="G11" s="123">
        <f>Utilidad!B8</f>
        <v>80959.563825055302</v>
      </c>
      <c r="H11" s="124">
        <f>IF(Utilidad!D8&gt;1,Utilidad!D8/100,Utilidad!D8)</f>
        <v>8.3799220138465219E-2</v>
      </c>
      <c r="J11" s="125">
        <f t="shared" si="0"/>
        <v>0</v>
      </c>
      <c r="K11" s="125">
        <f t="shared" si="1"/>
        <v>0</v>
      </c>
      <c r="L11" s="1"/>
      <c r="M11" s="127">
        <f t="shared" si="2"/>
        <v>0</v>
      </c>
      <c r="N11" s="127">
        <f t="shared" si="3"/>
        <v>0</v>
      </c>
      <c r="Q11" s="118" t="s">
        <v>87</v>
      </c>
      <c r="R11" s="124">
        <f>Utilidad!E8</f>
        <v>0.01</v>
      </c>
    </row>
    <row r="12" spans="2:18" ht="24" x14ac:dyDescent="0.3">
      <c r="B12" s="118" t="s">
        <v>141</v>
      </c>
      <c r="C12" s="123">
        <f>Utilidad!A9</f>
        <v>475752.4785749446</v>
      </c>
      <c r="D12" s="124">
        <f>IF(Utilidad!C9&gt;1,Utilidad!C9/100,Utilidad!C9)</f>
        <v>0.68630000000000002</v>
      </c>
      <c r="F12" s="118" t="s">
        <v>141</v>
      </c>
      <c r="G12" s="123">
        <f>Utilidad!B9</f>
        <v>475752.4785749446</v>
      </c>
      <c r="H12" s="124">
        <f>IF(Utilidad!D9&gt;1,Utilidad!D9/100,Utilidad!D9)</f>
        <v>0.68630000000000002</v>
      </c>
      <c r="J12" s="125">
        <f t="shared" si="0"/>
        <v>0</v>
      </c>
      <c r="K12" s="125">
        <f t="shared" si="1"/>
        <v>0</v>
      </c>
      <c r="L12" s="1"/>
      <c r="M12" s="127">
        <f t="shared" si="2"/>
        <v>0</v>
      </c>
      <c r="N12" s="127">
        <f t="shared" si="3"/>
        <v>0</v>
      </c>
      <c r="Q12" s="118" t="s">
        <v>141</v>
      </c>
      <c r="R12" s="124">
        <f>Utilidad!E9</f>
        <v>0.01</v>
      </c>
    </row>
    <row r="13" spans="2:18" ht="24" x14ac:dyDescent="0.3">
      <c r="B13" s="118" t="s">
        <v>142</v>
      </c>
      <c r="C13" s="123">
        <f>Utilidad!A10</f>
        <v>466336.4785749446</v>
      </c>
      <c r="D13" s="124">
        <f>IF(Utilidad!C10&gt;1,Utilidad!C10/100,Utilidad!C10)</f>
        <v>0.68913249103666352</v>
      </c>
      <c r="F13" s="118" t="s">
        <v>142</v>
      </c>
      <c r="G13" s="123">
        <f>Utilidad!B10</f>
        <v>466336.4785749446</v>
      </c>
      <c r="H13" s="124">
        <f>IF(Utilidad!D10&gt;1,Utilidad!D10/100,Utilidad!D10)</f>
        <v>0.68913249103666352</v>
      </c>
      <c r="J13" s="125">
        <f t="shared" si="0"/>
        <v>0</v>
      </c>
      <c r="K13" s="125">
        <f t="shared" si="1"/>
        <v>0</v>
      </c>
      <c r="L13" s="1"/>
      <c r="M13" s="127">
        <f t="shared" si="2"/>
        <v>0</v>
      </c>
      <c r="N13" s="127">
        <f t="shared" si="3"/>
        <v>0</v>
      </c>
      <c r="Q13" s="118" t="s">
        <v>142</v>
      </c>
      <c r="R13" s="124">
        <f>Utilidad!E10</f>
        <v>0.01</v>
      </c>
    </row>
    <row r="14" spans="2:18" ht="24" x14ac:dyDescent="0.3">
      <c r="B14" s="118" t="s">
        <v>204</v>
      </c>
      <c r="C14" s="123">
        <f>Utilidad!A11</f>
        <v>1</v>
      </c>
      <c r="D14" s="124">
        <f>IF(Utilidad!C11&gt;1,Utilidad!C11/100,Utilidad!C11)</f>
        <v>0.6</v>
      </c>
      <c r="F14" s="118" t="s">
        <v>204</v>
      </c>
      <c r="G14" s="123">
        <f>Utilidad!B11</f>
        <v>1</v>
      </c>
      <c r="H14" s="124">
        <f>IF(Utilidad!D11&gt;1,Utilidad!D11/100,Utilidad!D11)</f>
        <v>0.6</v>
      </c>
      <c r="J14" s="125">
        <f t="shared" si="0"/>
        <v>0</v>
      </c>
      <c r="K14" s="125">
        <f t="shared" si="1"/>
        <v>0</v>
      </c>
      <c r="L14" s="1"/>
      <c r="M14" s="127">
        <f t="shared" si="2"/>
        <v>0</v>
      </c>
      <c r="N14" s="127">
        <f t="shared" si="3"/>
        <v>0</v>
      </c>
      <c r="Q14" s="118" t="s">
        <v>204</v>
      </c>
      <c r="R14" s="124">
        <f>Utilidad!E11</f>
        <v>0.01</v>
      </c>
    </row>
    <row r="15" spans="2:18" ht="24" x14ac:dyDescent="0.3">
      <c r="B15" s="118" t="s">
        <v>266</v>
      </c>
      <c r="C15" s="123">
        <f>Utilidad!A12</f>
        <v>183369.18950000001</v>
      </c>
      <c r="D15" s="124">
        <f>IF(Utilidad!C12&gt;1,Utilidad!C12/100,Utilidad!C12)</f>
        <v>0.68834294588788836</v>
      </c>
      <c r="F15" s="118" t="s">
        <v>266</v>
      </c>
      <c r="G15" s="123">
        <f>Utilidad!B12</f>
        <v>183369.18950000001</v>
      </c>
      <c r="H15" s="124">
        <f>IF(Utilidad!D12&gt;1,Utilidad!D12/100,Utilidad!D12)</f>
        <v>0.68834294588788836</v>
      </c>
      <c r="J15" s="125">
        <f t="shared" si="0"/>
        <v>0</v>
      </c>
      <c r="K15" s="125">
        <f t="shared" si="1"/>
        <v>0</v>
      </c>
      <c r="L15" s="1"/>
      <c r="M15" s="127">
        <f t="shared" si="2"/>
        <v>0</v>
      </c>
      <c r="N15" s="127">
        <f t="shared" si="3"/>
        <v>0</v>
      </c>
      <c r="Q15" s="118" t="s">
        <v>266</v>
      </c>
      <c r="R15" s="124">
        <f>Utilidad!E12</f>
        <v>0.01</v>
      </c>
    </row>
    <row r="16" spans="2:18" ht="24" x14ac:dyDescent="0.3">
      <c r="B16" s="118" t="s">
        <v>181</v>
      </c>
      <c r="C16" s="123">
        <f>Utilidad!A13</f>
        <v>183369.18950000001</v>
      </c>
      <c r="D16" s="124">
        <f>IF(Utilidad!C13&gt;1,Utilidad!C13/100,Utilidad!C13)</f>
        <v>0.68834294588788836</v>
      </c>
      <c r="F16" s="118" t="s">
        <v>181</v>
      </c>
      <c r="G16" s="123">
        <f>Utilidad!B13</f>
        <v>183369.18950000001</v>
      </c>
      <c r="H16" s="124">
        <f>IF(Utilidad!D13&gt;1,Utilidad!D13/100,Utilidad!D13)</f>
        <v>0.68834294588788836</v>
      </c>
      <c r="J16" s="125">
        <f t="shared" si="0"/>
        <v>0</v>
      </c>
      <c r="K16" s="125">
        <f t="shared" si="1"/>
        <v>0</v>
      </c>
      <c r="L16" s="1"/>
      <c r="M16" s="127">
        <f t="shared" si="2"/>
        <v>0</v>
      </c>
      <c r="N16" s="127">
        <f t="shared" si="3"/>
        <v>0</v>
      </c>
      <c r="Q16" s="118" t="s">
        <v>181</v>
      </c>
      <c r="R16" s="124">
        <f>Utilidad!E13</f>
        <v>0.01</v>
      </c>
    </row>
    <row r="17" spans="2:18" ht="24" x14ac:dyDescent="0.3">
      <c r="B17" s="118" t="s">
        <v>183</v>
      </c>
      <c r="C17" s="123">
        <f>Utilidad!A14</f>
        <v>0</v>
      </c>
      <c r="D17" s="124">
        <f>IF(Utilidad!C14&gt;1,Utilidad!C14/100,Utilidad!C14)</f>
        <v>0</v>
      </c>
      <c r="F17" s="118" t="s">
        <v>183</v>
      </c>
      <c r="G17" s="123">
        <f>Utilidad!B14</f>
        <v>0</v>
      </c>
      <c r="H17" s="124">
        <f>IF(Utilidad!D14&gt;1,Utilidad!D14/100,Utilidad!D14)</f>
        <v>0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183</v>
      </c>
      <c r="R17" s="124">
        <f>Utilidad!E14</f>
        <v>0.01</v>
      </c>
    </row>
    <row r="18" spans="2:18" ht="24" x14ac:dyDescent="0.3">
      <c r="B18" s="118" t="s">
        <v>143</v>
      </c>
      <c r="C18" s="123">
        <f>Utilidad!A15</f>
        <v>274867.73500000004</v>
      </c>
      <c r="D18" s="124">
        <f>IF(Utilidad!C15&gt;1,Utilidad!C15/100,Utilidad!C15)</f>
        <v>0.68834294588788836</v>
      </c>
      <c r="F18" s="118" t="s">
        <v>143</v>
      </c>
      <c r="G18" s="123">
        <f>Utilidad!B15</f>
        <v>274867.73500000004</v>
      </c>
      <c r="H18" s="124">
        <f>IF(Utilidad!D15&gt;1,Utilidad!D15/100,Utilidad!D15)</f>
        <v>0.68834294588788836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143</v>
      </c>
      <c r="R18" s="124">
        <f>Utilidad!E15</f>
        <v>0.01</v>
      </c>
    </row>
    <row r="19" spans="2:18" ht="24" x14ac:dyDescent="0.3">
      <c r="B19" s="118" t="s">
        <v>189</v>
      </c>
      <c r="C19" s="123">
        <f>Utilidad!A16</f>
        <v>332236.17460000003</v>
      </c>
      <c r="D19" s="124">
        <f>IF(Utilidad!C16&gt;1,Utilidad!C16/100,Utilidad!C16)</f>
        <v>0.68740042268907109</v>
      </c>
      <c r="F19" s="118" t="s">
        <v>189</v>
      </c>
      <c r="G19" s="123">
        <f>Utilidad!B16</f>
        <v>332236.17460000003</v>
      </c>
      <c r="H19" s="124">
        <f>IF(Utilidad!D16&gt;1,Utilidad!D16/100,Utilidad!D16)</f>
        <v>0.68740042268907109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189</v>
      </c>
      <c r="R19" s="124">
        <f>Utilidad!E16</f>
        <v>0.01</v>
      </c>
    </row>
    <row r="20" spans="2:18" ht="24" x14ac:dyDescent="0.3">
      <c r="B20" s="118" t="s">
        <v>194</v>
      </c>
      <c r="C20" s="123">
        <f>Utilidad!A17</f>
        <v>13612.72</v>
      </c>
      <c r="D20" s="124">
        <f>IF(Utilidad!C17&gt;1,Utilidad!C17/100,Utilidad!C17)</f>
        <v>0</v>
      </c>
      <c r="F20" s="118" t="s">
        <v>194</v>
      </c>
      <c r="G20" s="123">
        <f>Utilidad!B17</f>
        <v>13612.72</v>
      </c>
      <c r="H20" s="124">
        <f>IF(Utilidad!D17&gt;1,Utilidad!D17/100,Utilidad!D17)</f>
        <v>0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194</v>
      </c>
      <c r="R20" s="124">
        <f>Utilidad!E17</f>
        <v>0.01</v>
      </c>
    </row>
    <row r="21" spans="2:18" ht="24" x14ac:dyDescent="0.3">
      <c r="B21" s="118" t="s">
        <v>198</v>
      </c>
      <c r="C21" s="123">
        <f>Utilidad!A18</f>
        <v>288480.45500000002</v>
      </c>
      <c r="D21" s="124">
        <f>IF(Utilidad!C18&gt;1,Utilidad!C18/100,Utilidad!C18)</f>
        <v>0.65711473548083466</v>
      </c>
      <c r="F21" s="118" t="s">
        <v>198</v>
      </c>
      <c r="G21" s="123">
        <f>Utilidad!B18</f>
        <v>288480.45500000002</v>
      </c>
      <c r="H21" s="124">
        <f>IF(Utilidad!D18&gt;1,Utilidad!D18/100,Utilidad!D18)</f>
        <v>0.65711473548083466</v>
      </c>
      <c r="J21" s="125">
        <f t="shared" si="0"/>
        <v>0</v>
      </c>
      <c r="K21" s="125">
        <f t="shared" si="1"/>
        <v>0</v>
      </c>
      <c r="L21" s="1"/>
      <c r="M21" s="127">
        <f t="shared" si="2"/>
        <v>0</v>
      </c>
      <c r="N21" s="127">
        <f t="shared" si="3"/>
        <v>0</v>
      </c>
      <c r="Q21" s="118" t="s">
        <v>198</v>
      </c>
      <c r="R21" s="124">
        <f>Utilidad!E18</f>
        <v>0.01</v>
      </c>
    </row>
    <row r="22" spans="2:18" ht="24" x14ac:dyDescent="0.3">
      <c r="B22" s="118" t="s">
        <v>144</v>
      </c>
      <c r="C22" s="123">
        <f>Utilidad!A19</f>
        <v>5432.7</v>
      </c>
      <c r="D22" s="124">
        <f>IF(Utilidad!C19&gt;1,Utilidad!C19/100,Utilidad!C19)</f>
        <v>0.65535413283291699</v>
      </c>
      <c r="F22" s="118" t="s">
        <v>144</v>
      </c>
      <c r="G22" s="123">
        <f>Utilidad!B19</f>
        <v>5432.7</v>
      </c>
      <c r="H22" s="124">
        <f>IF(Utilidad!D19&gt;1,Utilidad!D19/100,Utilidad!D19)</f>
        <v>0.65535413283291699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144</v>
      </c>
      <c r="R22" s="124">
        <f>Utilidad!E19</f>
        <v>0.01</v>
      </c>
    </row>
    <row r="23" spans="2:18" ht="24" x14ac:dyDescent="0.3">
      <c r="B23" s="118" t="s">
        <v>145</v>
      </c>
      <c r="C23" s="123">
        <f>Utilidad!A20</f>
        <v>775</v>
      </c>
      <c r="D23" s="124">
        <f>IF(Utilidad!C20&gt;1,Utilidad!C20/100,Utilidad!C20)</f>
        <v>0</v>
      </c>
      <c r="F23" s="118" t="s">
        <v>145</v>
      </c>
      <c r="G23" s="123">
        <f>Utilidad!B20</f>
        <v>775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145</v>
      </c>
      <c r="R23" s="124">
        <f>Utilidad!E20</f>
        <v>0.01</v>
      </c>
    </row>
    <row r="24" spans="2:18" ht="24" x14ac:dyDescent="0.3">
      <c r="B24" s="118" t="s">
        <v>146</v>
      </c>
      <c r="C24" s="123">
        <f>Utilidad!A21</f>
        <v>289255.45500000002</v>
      </c>
      <c r="D24" s="124">
        <f>IF(Utilidad!C21&gt;1,Utilidad!C21/100,Utilidad!C21)</f>
        <v>0.65535413283291699</v>
      </c>
      <c r="F24" s="118" t="s">
        <v>146</v>
      </c>
      <c r="G24" s="123">
        <f>Utilidad!B21</f>
        <v>289255.45500000002</v>
      </c>
      <c r="H24" s="124">
        <f>IF(Utilidad!D21&gt;1,Utilidad!D21/100,Utilidad!D21)</f>
        <v>0.65535413283291699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146</v>
      </c>
      <c r="R24" s="124">
        <f>Utilidad!E21</f>
        <v>0.01</v>
      </c>
    </row>
    <row r="25" spans="2:18" ht="24" x14ac:dyDescent="0.3">
      <c r="B25" s="118" t="s">
        <v>147</v>
      </c>
      <c r="C25" s="123">
        <f>Utilidad!A22</f>
        <v>12496.205</v>
      </c>
      <c r="D25" s="124">
        <f>IF(Utilidad!C22&gt;1,Utilidad!C22/100,Utilidad!C22)</f>
        <v>0.65535413283291699</v>
      </c>
      <c r="F25" s="118" t="s">
        <v>147</v>
      </c>
      <c r="G25" s="123">
        <f>Utilidad!B22</f>
        <v>12496.205</v>
      </c>
      <c r="H25" s="124">
        <f>IF(Utilidad!D22&gt;1,Utilidad!D22/100,Utilidad!D22)</f>
        <v>0.65535413283291699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147</v>
      </c>
      <c r="R25" s="124">
        <f>Utilidad!E22</f>
        <v>0.01</v>
      </c>
    </row>
    <row r="26" spans="2:18" ht="24" x14ac:dyDescent="0.3">
      <c r="B26" s="118" t="s">
        <v>148</v>
      </c>
      <c r="C26" s="123">
        <f>Utilidad!A23</f>
        <v>271326.55</v>
      </c>
      <c r="D26" s="124">
        <f>IF(Utilidad!C23&gt;1,Utilidad!C23/100,Utilidad!C23)</f>
        <v>0.65535413283291699</v>
      </c>
      <c r="F26" s="118" t="s">
        <v>148</v>
      </c>
      <c r="G26" s="123">
        <f>Utilidad!B23</f>
        <v>271326.55</v>
      </c>
      <c r="H26" s="124">
        <f>IF(Utilidad!D23&gt;1,Utilidad!D23/100,Utilidad!D23)</f>
        <v>0.65535413283291699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148</v>
      </c>
      <c r="R26" s="124">
        <f>Utilidad!E23</f>
        <v>0.01</v>
      </c>
    </row>
    <row r="27" spans="2:18" ht="24" x14ac:dyDescent="0.3">
      <c r="B27" s="118" t="s">
        <v>10</v>
      </c>
      <c r="C27" s="123">
        <f>Utilidad!A24</f>
        <v>32361.38</v>
      </c>
      <c r="D27" s="124">
        <f>IF(Utilidad!C24&gt;1,Utilidad!C24/100,Utilidad!C24)</f>
        <v>0.65535413283291699</v>
      </c>
      <c r="F27" s="118" t="s">
        <v>10</v>
      </c>
      <c r="G27" s="123">
        <f>Utilidad!B24</f>
        <v>32361.38</v>
      </c>
      <c r="H27" s="124">
        <f>IF(Utilidad!D24&gt;1,Utilidad!D24/100,Utilidad!D24)</f>
        <v>0.65535413283291699</v>
      </c>
      <c r="J27" s="125">
        <f t="shared" si="0"/>
        <v>0</v>
      </c>
      <c r="K27" s="125">
        <f t="shared" si="1"/>
        <v>0</v>
      </c>
      <c r="L27" s="1"/>
      <c r="M27" s="127">
        <f t="shared" si="2"/>
        <v>0</v>
      </c>
      <c r="N27" s="127">
        <f t="shared" si="3"/>
        <v>0</v>
      </c>
      <c r="Q27" s="118" t="s">
        <v>10</v>
      </c>
      <c r="R27" s="124">
        <f>Utilidad!E24</f>
        <v>0.01</v>
      </c>
    </row>
    <row r="28" spans="2:18" ht="24" x14ac:dyDescent="0.3">
      <c r="B28" s="118" t="s">
        <v>207</v>
      </c>
      <c r="C28" s="123">
        <f>Utilidad!A25</f>
        <v>238058.12169999999</v>
      </c>
      <c r="D28" s="124">
        <f>IF(Utilidad!C25&gt;1,Utilidad!C25/100,Utilidad!C25)</f>
        <v>0.65506562002568458</v>
      </c>
      <c r="F28" s="118" t="s">
        <v>207</v>
      </c>
      <c r="G28" s="123">
        <f>Utilidad!B25</f>
        <v>238058.12169999999</v>
      </c>
      <c r="H28" s="124">
        <f>IF(Utilidad!D25&gt;1,Utilidad!D25/100,Utilidad!D25)</f>
        <v>0.65506562002568458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207</v>
      </c>
      <c r="R28" s="124">
        <f>Utilidad!E25</f>
        <v>0.01</v>
      </c>
    </row>
    <row r="29" spans="2:18" ht="24" x14ac:dyDescent="0.3">
      <c r="B29" s="321" t="s">
        <v>267</v>
      </c>
      <c r="C29" s="322">
        <f>Utilidad!A26</f>
        <v>0</v>
      </c>
      <c r="D29" s="323">
        <f>IF(Utilidad!C26&gt;1,Utilidad!C26/100,Utilidad!C26)</f>
        <v>0</v>
      </c>
      <c r="E29" s="324"/>
      <c r="F29" s="321" t="s">
        <v>267</v>
      </c>
      <c r="G29" s="322">
        <f>Utilidad!B26</f>
        <v>0</v>
      </c>
      <c r="H29" s="323">
        <f>IF(Utilidad!D26&gt;1,Utilidad!D26/100,Utilidad!D26)</f>
        <v>0</v>
      </c>
      <c r="I29" s="324"/>
      <c r="J29" s="325">
        <f t="shared" si="0"/>
        <v>0</v>
      </c>
      <c r="K29" s="325">
        <f t="shared" si="1"/>
        <v>0</v>
      </c>
      <c r="L29" s="326"/>
      <c r="M29" s="327">
        <f t="shared" si="2"/>
        <v>0</v>
      </c>
      <c r="N29" s="327">
        <f t="shared" si="3"/>
        <v>0</v>
      </c>
      <c r="O29" s="324"/>
      <c r="P29" s="324"/>
      <c r="Q29" s="321" t="s">
        <v>267</v>
      </c>
      <c r="R29" s="323">
        <f>Utilidad!E26</f>
        <v>0.01</v>
      </c>
    </row>
    <row r="30" spans="2:18" ht="24" x14ac:dyDescent="0.3">
      <c r="B30" s="333" t="s">
        <v>268</v>
      </c>
      <c r="C30" s="334">
        <f>Utilidad!A27</f>
        <v>0</v>
      </c>
      <c r="D30" s="335">
        <f>IF(Utilidad!C27&gt;1,Utilidad!C27/100,Utilidad!C27)</f>
        <v>0</v>
      </c>
      <c r="E30" s="336"/>
      <c r="F30" s="333" t="s">
        <v>268</v>
      </c>
      <c r="G30" s="334">
        <f>Utilidad!B27</f>
        <v>0</v>
      </c>
      <c r="H30" s="335">
        <f>IF(Utilidad!D27&gt;1,Utilidad!D27/100,Utilidad!D27)</f>
        <v>0</v>
      </c>
      <c r="I30" s="336"/>
      <c r="J30" s="337">
        <f t="shared" si="0"/>
        <v>0</v>
      </c>
      <c r="K30" s="337">
        <f t="shared" si="1"/>
        <v>0</v>
      </c>
      <c r="L30" s="338"/>
      <c r="M30" s="339">
        <f t="shared" si="2"/>
        <v>0</v>
      </c>
      <c r="N30" s="339">
        <f t="shared" si="3"/>
        <v>0</v>
      </c>
      <c r="O30" s="336"/>
      <c r="P30" s="336"/>
      <c r="Q30" s="333" t="s">
        <v>268</v>
      </c>
      <c r="R30" s="335">
        <f>Utilidad!E27</f>
        <v>0.01</v>
      </c>
    </row>
    <row r="31" spans="2:18" ht="15.75" customHeight="1" x14ac:dyDescent="0.3">
      <c r="B31" s="321" t="s">
        <v>276</v>
      </c>
      <c r="C31" s="334">
        <f>Utilidad!A28</f>
        <v>0</v>
      </c>
      <c r="D31" s="335">
        <f>IF(Utilidad!C28&gt;1,Utilidad!C28/100,Utilidad!C28)</f>
        <v>0</v>
      </c>
      <c r="E31" s="324"/>
      <c r="F31" s="321" t="s">
        <v>276</v>
      </c>
      <c r="G31" s="334">
        <f>Utilidad!B28</f>
        <v>0</v>
      </c>
      <c r="H31" s="335">
        <f>IF(Utilidad!D28&gt;1,Utilidad!D28/100,Utilidad!D28)</f>
        <v>0</v>
      </c>
      <c r="I31" s="324"/>
      <c r="J31" s="337">
        <f t="shared" ref="J31" si="4">+IF(C31&lt;&gt;0,(G31-C31)/C31,ABS(G31-C31))</f>
        <v>0</v>
      </c>
      <c r="K31" s="337">
        <f t="shared" ref="K31" si="5">+IF(D31&lt;&gt;0,(H31-D31)/D31,0)</f>
        <v>0</v>
      </c>
      <c r="L31" s="326"/>
      <c r="M31" s="339">
        <f t="shared" ref="M31" si="6">+IF(J31&lt;&gt;"",ABS(J31),0)</f>
        <v>0</v>
      </c>
      <c r="N31" s="339">
        <f t="shared" ref="N31" si="7">+IF(J31&lt;&gt;"",ABS(K31),0)</f>
        <v>0</v>
      </c>
      <c r="O31" s="324"/>
      <c r="P31" s="324"/>
      <c r="Q31" s="118" t="s">
        <v>276</v>
      </c>
      <c r="R31" s="335">
        <f>Utilidad!E28</f>
        <v>0</v>
      </c>
    </row>
    <row r="32" spans="2:18" ht="24" x14ac:dyDescent="0.3">
      <c r="B32" s="321" t="s">
        <v>9</v>
      </c>
      <c r="C32" s="334">
        <f>Utilidad!A29</f>
        <v>0</v>
      </c>
      <c r="D32" s="335">
        <f>IF(Utilidad!C29&gt;1,Utilidad!C29/100,Utilidad!C29)</f>
        <v>0</v>
      </c>
      <c r="E32" s="324"/>
      <c r="F32" s="321" t="s">
        <v>9</v>
      </c>
      <c r="G32" s="334">
        <f>Utilidad!B29</f>
        <v>0</v>
      </c>
      <c r="H32" s="335">
        <f>IF(Utilidad!D29&gt;1,Utilidad!D29/100,Utilidad!D29)</f>
        <v>0</v>
      </c>
      <c r="I32" s="324"/>
      <c r="J32" s="337">
        <f t="shared" ref="J32" si="8">+IF(C32&lt;&gt;0,(G32-C32)/C32,ABS(G32-C32))</f>
        <v>0</v>
      </c>
      <c r="K32" s="337">
        <f t="shared" ref="K32" si="9">+IF(D32&lt;&gt;0,(H32-D32)/D32,0)</f>
        <v>0</v>
      </c>
      <c r="L32" s="326"/>
      <c r="M32" s="339">
        <f t="shared" ref="M32" si="10">+IF(J32&lt;&gt;"",ABS(J32),0)</f>
        <v>0</v>
      </c>
      <c r="N32" s="339">
        <f t="shared" ref="N32" si="11">+IF(J32&lt;&gt;"",ABS(K32),0)</f>
        <v>0</v>
      </c>
      <c r="O32" s="324"/>
      <c r="P32" s="324"/>
      <c r="Q32" s="321" t="s">
        <v>9</v>
      </c>
      <c r="R32" s="335">
        <f>Utilidad!E29</f>
        <v>0</v>
      </c>
    </row>
    <row r="33" spans="2:18" ht="24" x14ac:dyDescent="0.3">
      <c r="B33" s="321" t="s">
        <v>278</v>
      </c>
      <c r="C33" s="334">
        <f>Utilidad!A30</f>
        <v>0</v>
      </c>
      <c r="D33" s="335">
        <f>IF(Utilidad!C30&gt;1,Utilidad!C30/100,Utilidad!C30)</f>
        <v>0</v>
      </c>
      <c r="E33" s="324"/>
      <c r="F33" s="321" t="s">
        <v>278</v>
      </c>
      <c r="G33" s="334">
        <f>Utilidad!B30</f>
        <v>0</v>
      </c>
      <c r="H33" s="335">
        <f>IF(Utilidad!D30&gt;1,Utilidad!D30/100,Utilidad!D30)</f>
        <v>0</v>
      </c>
      <c r="I33" s="324"/>
      <c r="J33" s="337">
        <f t="shared" ref="J33" si="12">+IF(C33&lt;&gt;0,(G33-C33)/C33,ABS(G33-C33))</f>
        <v>0</v>
      </c>
      <c r="K33" s="337">
        <f t="shared" ref="K33" si="13">+IF(D33&lt;&gt;0,(H33-D33)/D33,0)</f>
        <v>0</v>
      </c>
      <c r="L33" s="326"/>
      <c r="M33" s="339">
        <f t="shared" ref="M33" si="14">+IF(J33&lt;&gt;"",ABS(J33),0)</f>
        <v>0</v>
      </c>
      <c r="N33" s="339">
        <f t="shared" ref="N33" si="15">+IF(J33&lt;&gt;"",ABS(K33),0)</f>
        <v>0</v>
      </c>
      <c r="O33" s="324"/>
      <c r="P33" s="324"/>
      <c r="Q33" s="321" t="s">
        <v>278</v>
      </c>
      <c r="R33" s="335">
        <f>Utilidad!E30</f>
        <v>0</v>
      </c>
    </row>
    <row r="34" spans="2:18" ht="24" x14ac:dyDescent="0.3">
      <c r="B34" s="321" t="s">
        <v>279</v>
      </c>
      <c r="C34" s="334">
        <f>Utilidad!A31</f>
        <v>0</v>
      </c>
      <c r="D34" s="335">
        <f>IF(Utilidad!C31&gt;1,Utilidad!C31/100,Utilidad!C31)</f>
        <v>0</v>
      </c>
      <c r="E34" s="324"/>
      <c r="F34" s="321" t="s">
        <v>279</v>
      </c>
      <c r="G34" s="334">
        <f>Utilidad!B31</f>
        <v>0</v>
      </c>
      <c r="H34" s="335">
        <f>IF(Utilidad!D31&gt;1,Utilidad!D31/100,Utilidad!D31)</f>
        <v>0</v>
      </c>
      <c r="I34" s="324"/>
      <c r="J34" s="337">
        <f t="shared" ref="J34:J35" si="16">+IF(C34&lt;&gt;0,(G34-C34)/C34,ABS(G34-C34))</f>
        <v>0</v>
      </c>
      <c r="K34" s="337">
        <f t="shared" ref="K34:K35" si="17">+IF(D34&lt;&gt;0,(H34-D34)/D34,0)</f>
        <v>0</v>
      </c>
      <c r="L34" s="326"/>
      <c r="M34" s="339">
        <f t="shared" ref="M34:M35" si="18">+IF(J34&lt;&gt;"",ABS(J34),0)</f>
        <v>0</v>
      </c>
      <c r="N34" s="339">
        <f t="shared" ref="N34:N35" si="19">+IF(J34&lt;&gt;"",ABS(K34),0)</f>
        <v>0</v>
      </c>
      <c r="O34" s="324"/>
      <c r="P34" s="324"/>
      <c r="Q34" s="321" t="s">
        <v>279</v>
      </c>
      <c r="R34" s="335">
        <f>Utilidad!E31</f>
        <v>0</v>
      </c>
    </row>
    <row r="35" spans="2:18" ht="24" x14ac:dyDescent="0.3">
      <c r="B35" s="321" t="s">
        <v>280</v>
      </c>
      <c r="C35" s="334">
        <f>Utilidad!A32</f>
        <v>0</v>
      </c>
      <c r="D35" s="335">
        <f>IF(Utilidad!C32&gt;1,Utilidad!C32/100,Utilidad!C32)</f>
        <v>0</v>
      </c>
      <c r="E35" s="324"/>
      <c r="F35" s="321" t="s">
        <v>280</v>
      </c>
      <c r="G35" s="334">
        <f>Utilidad!B32</f>
        <v>0</v>
      </c>
      <c r="H35" s="335">
        <f>IF(Utilidad!D32&gt;1,Utilidad!D32/100,Utilidad!D32)</f>
        <v>0</v>
      </c>
      <c r="I35" s="324"/>
      <c r="J35" s="337">
        <f t="shared" si="16"/>
        <v>0</v>
      </c>
      <c r="K35" s="337">
        <f t="shared" si="17"/>
        <v>0</v>
      </c>
      <c r="L35" s="326"/>
      <c r="M35" s="339">
        <f t="shared" si="18"/>
        <v>0</v>
      </c>
      <c r="N35" s="339">
        <f t="shared" si="19"/>
        <v>0</v>
      </c>
      <c r="O35" s="324"/>
      <c r="P35" s="324"/>
      <c r="Q35" s="321" t="s">
        <v>280</v>
      </c>
      <c r="R35" s="335">
        <f>Utilidad!E32</f>
        <v>0</v>
      </c>
    </row>
    <row r="36" spans="2:18" ht="15.75" customHeight="1" x14ac:dyDescent="0.3">
      <c r="B36" s="328"/>
      <c r="C36" s="329"/>
      <c r="D36" s="330"/>
      <c r="E36" s="324"/>
      <c r="F36" s="328"/>
      <c r="G36" s="329"/>
      <c r="H36" s="330"/>
      <c r="I36" s="324"/>
      <c r="J36" s="331"/>
      <c r="K36" s="331"/>
      <c r="L36" s="326"/>
      <c r="M36" s="332"/>
      <c r="N36" s="332"/>
      <c r="O36" s="324"/>
      <c r="P36" s="324"/>
      <c r="Q36" s="328"/>
      <c r="R36" s="330"/>
    </row>
    <row r="37" spans="2:18" ht="15.75" customHeight="1" x14ac:dyDescent="0.3">
      <c r="B37" s="328"/>
      <c r="C37" s="329"/>
      <c r="D37" s="330"/>
      <c r="E37" s="324"/>
      <c r="F37" s="328"/>
      <c r="G37" s="329"/>
      <c r="H37" s="330"/>
      <c r="I37" s="324"/>
      <c r="J37" s="331"/>
      <c r="K37" s="331"/>
      <c r="L37" s="326"/>
      <c r="M37" s="332"/>
      <c r="N37" s="332"/>
      <c r="O37" s="324"/>
      <c r="P37" s="324"/>
      <c r="Q37" s="328"/>
      <c r="R37" s="330"/>
    </row>
    <row r="38" spans="2:18" ht="15.75" customHeight="1" x14ac:dyDescent="0.3">
      <c r="B38" s="328"/>
      <c r="C38" s="329"/>
      <c r="D38" s="330"/>
      <c r="E38" s="324"/>
      <c r="F38" s="328"/>
      <c r="G38" s="329"/>
      <c r="H38" s="330"/>
      <c r="I38" s="324"/>
      <c r="J38" s="331"/>
      <c r="K38" s="331"/>
      <c r="L38" s="326"/>
      <c r="M38" s="332"/>
      <c r="N38" s="332"/>
      <c r="O38" s="324"/>
      <c r="P38" s="324"/>
      <c r="Q38" s="328"/>
      <c r="R38" s="330"/>
    </row>
    <row r="39" spans="2:18" ht="15.75" customHeight="1" x14ac:dyDescent="0.3">
      <c r="B39" s="328"/>
      <c r="C39" s="329"/>
      <c r="D39" s="330"/>
      <c r="E39" s="324"/>
      <c r="F39" s="328"/>
      <c r="G39" s="329"/>
      <c r="H39" s="330"/>
      <c r="I39" s="324"/>
      <c r="J39" s="331"/>
      <c r="K39" s="331"/>
      <c r="L39" s="326"/>
      <c r="M39" s="332"/>
      <c r="N39" s="332"/>
      <c r="O39" s="324"/>
      <c r="P39" s="324"/>
      <c r="Q39" s="328"/>
      <c r="R39" s="330"/>
    </row>
    <row r="40" spans="2:18" ht="15.75" customHeight="1" x14ac:dyDescent="0.3">
      <c r="B40" s="328"/>
      <c r="C40" s="329"/>
      <c r="D40" s="330"/>
      <c r="E40" s="324"/>
      <c r="F40" s="328"/>
      <c r="G40" s="329"/>
      <c r="H40" s="330"/>
      <c r="I40" s="324"/>
      <c r="J40" s="331"/>
      <c r="K40" s="331"/>
      <c r="L40" s="326"/>
      <c r="M40" s="332"/>
      <c r="N40" s="332"/>
      <c r="O40" s="324"/>
      <c r="P40" s="324"/>
      <c r="Q40" s="328"/>
      <c r="R40" s="330"/>
    </row>
    <row r="41" spans="2:18" ht="15.75" customHeight="1" x14ac:dyDescent="0.3">
      <c r="B41" s="328"/>
      <c r="C41" s="329"/>
      <c r="D41" s="330"/>
      <c r="E41" s="324"/>
      <c r="F41" s="328"/>
      <c r="G41" s="329"/>
      <c r="H41" s="330"/>
      <c r="I41" s="324"/>
      <c r="J41" s="331"/>
      <c r="K41" s="331"/>
      <c r="L41" s="326"/>
      <c r="M41" s="332"/>
      <c r="N41" s="332"/>
      <c r="O41" s="324"/>
      <c r="P41" s="324"/>
      <c r="Q41" s="328"/>
      <c r="R41" s="330"/>
    </row>
    <row r="42" spans="2:18" ht="15.75" customHeight="1" x14ac:dyDescent="0.3">
      <c r="B42" s="328"/>
      <c r="C42" s="329"/>
      <c r="D42" s="330"/>
      <c r="E42" s="324"/>
      <c r="F42" s="328"/>
      <c r="G42" s="329"/>
      <c r="H42" s="330"/>
      <c r="I42" s="324"/>
      <c r="J42" s="331"/>
      <c r="K42" s="331"/>
      <c r="L42" s="326"/>
      <c r="M42" s="332"/>
      <c r="N42" s="332"/>
      <c r="O42" s="324"/>
      <c r="P42" s="324"/>
      <c r="Q42" s="328"/>
      <c r="R42" s="330"/>
    </row>
    <row r="43" spans="2:18" ht="15.75" customHeight="1" x14ac:dyDescent="0.3">
      <c r="B43" s="328"/>
      <c r="C43" s="329"/>
      <c r="D43" s="330"/>
      <c r="E43" s="324"/>
      <c r="F43" s="328"/>
      <c r="G43" s="329"/>
      <c r="H43" s="330"/>
      <c r="I43" s="324"/>
      <c r="J43" s="331"/>
      <c r="K43" s="331"/>
      <c r="L43" s="326"/>
      <c r="M43" s="332"/>
      <c r="N43" s="332"/>
      <c r="O43" s="324"/>
      <c r="P43" s="324"/>
      <c r="Q43" s="328"/>
      <c r="R43" s="330"/>
    </row>
    <row r="44" spans="2:18" ht="15.75" customHeight="1" x14ac:dyDescent="0.3">
      <c r="B44" s="328"/>
      <c r="C44" s="329"/>
      <c r="D44" s="330"/>
      <c r="E44" s="324"/>
      <c r="F44" s="328"/>
      <c r="G44" s="329"/>
      <c r="H44" s="330"/>
      <c r="I44" s="324"/>
      <c r="J44" s="331"/>
      <c r="K44" s="331"/>
      <c r="L44" s="326"/>
      <c r="M44" s="332"/>
      <c r="N44" s="332"/>
      <c r="O44" s="324"/>
      <c r="P44" s="324"/>
      <c r="Q44" s="328"/>
      <c r="R44" s="330"/>
    </row>
    <row r="45" spans="2:18" ht="15.75" customHeight="1" x14ac:dyDescent="0.3">
      <c r="B45" s="328"/>
      <c r="C45" s="329"/>
      <c r="D45" s="330"/>
      <c r="E45" s="324"/>
      <c r="F45" s="328"/>
      <c r="G45" s="329"/>
      <c r="H45" s="330"/>
      <c r="I45" s="324"/>
      <c r="J45" s="331"/>
      <c r="K45" s="331"/>
      <c r="L45" s="326"/>
      <c r="M45" s="332"/>
      <c r="N45" s="332"/>
      <c r="O45" s="324"/>
      <c r="P45" s="324"/>
      <c r="Q45" s="328"/>
      <c r="R45" s="330"/>
    </row>
    <row r="46" spans="2:18" ht="15.75" customHeight="1" x14ac:dyDescent="0.3">
      <c r="B46" s="328"/>
      <c r="C46" s="329"/>
      <c r="D46" s="330"/>
      <c r="E46" s="324"/>
      <c r="F46" s="328"/>
      <c r="G46" s="329"/>
      <c r="H46" s="330"/>
      <c r="I46" s="324"/>
      <c r="J46" s="331"/>
      <c r="K46" s="331"/>
      <c r="L46" s="326"/>
      <c r="M46" s="332"/>
      <c r="N46" s="332"/>
      <c r="O46" s="324"/>
      <c r="P46" s="324"/>
      <c r="Q46" s="328"/>
      <c r="R46" s="330"/>
    </row>
    <row r="47" spans="2:18" ht="15.75" customHeight="1" x14ac:dyDescent="0.3">
      <c r="B47" s="328"/>
      <c r="C47" s="329"/>
      <c r="D47" s="330"/>
      <c r="E47" s="324"/>
      <c r="F47" s="328"/>
      <c r="G47" s="329"/>
      <c r="H47" s="330"/>
      <c r="I47" s="324"/>
      <c r="J47" s="331"/>
      <c r="K47" s="331"/>
      <c r="L47" s="326"/>
      <c r="M47" s="332"/>
      <c r="N47" s="332"/>
      <c r="O47" s="324"/>
      <c r="P47" s="324"/>
      <c r="Q47" s="328"/>
      <c r="R47" s="330"/>
    </row>
    <row r="48" spans="2:18" ht="15.75" customHeight="1" x14ac:dyDescent="0.3">
      <c r="B48" s="328"/>
      <c r="C48" s="329"/>
      <c r="D48" s="330"/>
      <c r="E48" s="324"/>
      <c r="F48" s="328"/>
      <c r="G48" s="329"/>
      <c r="H48" s="330"/>
      <c r="I48" s="324"/>
      <c r="J48" s="331"/>
      <c r="K48" s="331"/>
      <c r="L48" s="326"/>
      <c r="M48" s="332"/>
      <c r="N48" s="332"/>
      <c r="O48" s="324"/>
      <c r="P48" s="324"/>
      <c r="Q48" s="328"/>
      <c r="R48" s="330"/>
    </row>
    <row r="49" spans="2:18" ht="15.75" customHeight="1" x14ac:dyDescent="0.3">
      <c r="B49" s="328"/>
      <c r="C49" s="329"/>
      <c r="D49" s="330"/>
      <c r="E49" s="324"/>
      <c r="F49" s="328"/>
      <c r="G49" s="329"/>
      <c r="H49" s="330"/>
      <c r="I49" s="324"/>
      <c r="J49" s="331"/>
      <c r="K49" s="331"/>
      <c r="L49" s="326"/>
      <c r="M49" s="332"/>
      <c r="N49" s="332"/>
      <c r="O49" s="324"/>
      <c r="P49" s="324"/>
      <c r="Q49" s="328"/>
      <c r="R49" s="330"/>
    </row>
    <row r="50" spans="2:18" ht="15.75" customHeight="1" x14ac:dyDescent="0.3">
      <c r="B50" s="328"/>
      <c r="C50" s="329"/>
      <c r="D50" s="330"/>
      <c r="E50" s="324"/>
      <c r="F50" s="328"/>
      <c r="G50" s="329"/>
      <c r="H50" s="330"/>
      <c r="I50" s="324"/>
      <c r="J50" s="331"/>
      <c r="K50" s="331"/>
      <c r="L50" s="326"/>
      <c r="M50" s="332"/>
      <c r="N50" s="332"/>
      <c r="O50" s="324"/>
      <c r="P50" s="324"/>
      <c r="Q50" s="328"/>
      <c r="R50" s="330"/>
    </row>
    <row r="51" spans="2:18" ht="15.75" customHeight="1" x14ac:dyDescent="0.3">
      <c r="B51" s="328"/>
      <c r="C51" s="329"/>
      <c r="D51" s="330"/>
      <c r="E51" s="324"/>
      <c r="F51" s="328"/>
      <c r="G51" s="329"/>
      <c r="H51" s="330"/>
      <c r="I51" s="324"/>
      <c r="J51" s="331"/>
      <c r="K51" s="331"/>
      <c r="L51" s="326"/>
      <c r="M51" s="332"/>
      <c r="N51" s="332"/>
      <c r="O51" s="324"/>
      <c r="P51" s="324"/>
      <c r="Q51" s="328"/>
      <c r="R51" s="330"/>
    </row>
    <row r="52" spans="2:18" ht="15.75" customHeight="1" x14ac:dyDescent="0.3">
      <c r="B52" s="328"/>
      <c r="C52" s="329"/>
      <c r="D52" s="330"/>
      <c r="E52" s="324"/>
      <c r="F52" s="328"/>
      <c r="G52" s="329"/>
      <c r="H52" s="330"/>
      <c r="I52" s="324"/>
      <c r="J52" s="331"/>
      <c r="K52" s="331"/>
      <c r="L52" s="326"/>
      <c r="M52" s="332"/>
      <c r="N52" s="332"/>
      <c r="O52" s="324"/>
      <c r="P52" s="324"/>
      <c r="Q52" s="328"/>
      <c r="R52" s="330"/>
    </row>
    <row r="53" spans="2:18" ht="15.75" customHeight="1" x14ac:dyDescent="0.3">
      <c r="B53" s="328"/>
      <c r="C53" s="329"/>
      <c r="D53" s="330"/>
      <c r="E53" s="324"/>
      <c r="F53" s="328"/>
      <c r="G53" s="329"/>
      <c r="H53" s="330"/>
      <c r="I53" s="324"/>
      <c r="J53" s="331"/>
      <c r="K53" s="331"/>
      <c r="L53" s="326"/>
      <c r="M53" s="332"/>
      <c r="N53" s="332"/>
      <c r="O53" s="324"/>
      <c r="P53" s="324"/>
      <c r="Q53" s="328"/>
      <c r="R53" s="330"/>
    </row>
    <row r="54" spans="2:18" ht="15.75" customHeight="1" x14ac:dyDescent="0.3">
      <c r="B54" s="328"/>
      <c r="C54" s="329"/>
      <c r="D54" s="330"/>
      <c r="E54" s="324"/>
      <c r="F54" s="328"/>
      <c r="G54" s="329"/>
      <c r="H54" s="330"/>
      <c r="I54" s="324"/>
      <c r="J54" s="331"/>
      <c r="K54" s="331"/>
      <c r="L54" s="326"/>
      <c r="M54" s="332"/>
      <c r="N54" s="332"/>
      <c r="O54" s="324"/>
      <c r="P54" s="324"/>
      <c r="Q54" s="328"/>
      <c r="R54" s="330"/>
    </row>
    <row r="55" spans="2:18" ht="15.75" customHeight="1" x14ac:dyDescent="0.3">
      <c r="B55" s="328"/>
      <c r="C55" s="329"/>
      <c r="D55" s="330"/>
      <c r="E55" s="324"/>
      <c r="F55" s="328"/>
      <c r="G55" s="329"/>
      <c r="H55" s="330"/>
      <c r="I55" s="324"/>
      <c r="J55" s="331"/>
      <c r="K55" s="331"/>
      <c r="L55" s="326"/>
      <c r="M55" s="332"/>
      <c r="N55" s="332"/>
      <c r="O55" s="324"/>
      <c r="P55" s="324"/>
      <c r="Q55" s="328"/>
      <c r="R55" s="330"/>
    </row>
    <row r="56" spans="2:18" ht="15.75" customHeight="1" x14ac:dyDescent="0.3">
      <c r="B56" s="328"/>
      <c r="C56" s="329"/>
      <c r="D56" s="330"/>
      <c r="E56" s="324"/>
      <c r="F56" s="328"/>
      <c r="G56" s="329"/>
      <c r="H56" s="330"/>
      <c r="I56" s="324"/>
      <c r="J56" s="331"/>
      <c r="K56" s="331"/>
      <c r="L56" s="326"/>
      <c r="M56" s="332"/>
      <c r="N56" s="332"/>
      <c r="O56" s="324"/>
      <c r="P56" s="324"/>
      <c r="Q56" s="328"/>
      <c r="R56" s="330"/>
    </row>
    <row r="57" spans="2:18" ht="15.75" customHeight="1" x14ac:dyDescent="0.3">
      <c r="B57" s="328"/>
      <c r="C57" s="329"/>
      <c r="D57" s="330"/>
      <c r="E57" s="324"/>
      <c r="F57" s="328"/>
      <c r="G57" s="329"/>
      <c r="H57" s="330"/>
      <c r="I57" s="324"/>
      <c r="J57" s="331"/>
      <c r="K57" s="331"/>
      <c r="L57" s="326"/>
      <c r="M57" s="332"/>
      <c r="N57" s="332"/>
      <c r="O57" s="324"/>
      <c r="P57" s="324"/>
      <c r="Q57" s="328"/>
      <c r="R57" s="330"/>
    </row>
    <row r="58" spans="2:18" ht="15.75" customHeight="1" x14ac:dyDescent="0.3">
      <c r="B58" s="328"/>
      <c r="C58" s="329"/>
      <c r="D58" s="330"/>
      <c r="E58" s="324"/>
      <c r="F58" s="328"/>
      <c r="G58" s="329"/>
      <c r="H58" s="330"/>
      <c r="I58" s="324"/>
      <c r="J58" s="331"/>
      <c r="K58" s="331"/>
      <c r="L58" s="326"/>
      <c r="M58" s="332"/>
      <c r="N58" s="332"/>
      <c r="O58" s="324"/>
      <c r="P58" s="324"/>
      <c r="Q58" s="328"/>
      <c r="R58" s="330"/>
    </row>
    <row r="59" spans="2:18" ht="15.75" customHeight="1" x14ac:dyDescent="0.3">
      <c r="B59" s="328"/>
      <c r="C59" s="329"/>
      <c r="D59" s="330"/>
      <c r="E59" s="324"/>
      <c r="F59" s="328"/>
      <c r="G59" s="329"/>
      <c r="H59" s="330"/>
      <c r="I59" s="324"/>
      <c r="J59" s="331"/>
      <c r="K59" s="331"/>
      <c r="L59" s="326"/>
      <c r="M59" s="332"/>
      <c r="N59" s="332"/>
      <c r="O59" s="324"/>
      <c r="P59" s="324"/>
      <c r="Q59" s="328"/>
      <c r="R59" s="330"/>
    </row>
    <row r="60" spans="2:18" ht="15.75" customHeight="1" x14ac:dyDescent="0.3">
      <c r="B60" s="328"/>
      <c r="C60" s="329"/>
      <c r="D60" s="330"/>
      <c r="E60" s="324"/>
      <c r="F60" s="328"/>
      <c r="G60" s="329"/>
      <c r="H60" s="330"/>
      <c r="I60" s="324"/>
      <c r="J60" s="331"/>
      <c r="K60" s="331"/>
      <c r="L60" s="326"/>
      <c r="M60" s="332"/>
      <c r="N60" s="332"/>
      <c r="O60" s="324"/>
      <c r="P60" s="324"/>
      <c r="Q60" s="328"/>
      <c r="R60" s="330"/>
    </row>
    <row r="61" spans="2:18" ht="15.75" customHeight="1" x14ac:dyDescent="0.3">
      <c r="B61" s="328"/>
      <c r="C61" s="329"/>
      <c r="D61" s="330"/>
      <c r="E61" s="324"/>
      <c r="F61" s="328"/>
      <c r="G61" s="329"/>
      <c r="H61" s="330"/>
      <c r="I61" s="324"/>
      <c r="J61" s="331"/>
      <c r="K61" s="331"/>
      <c r="L61" s="326"/>
      <c r="M61" s="332"/>
      <c r="N61" s="332"/>
      <c r="O61" s="324"/>
      <c r="P61" s="324"/>
      <c r="Q61" s="328"/>
      <c r="R61" s="330"/>
    </row>
    <row r="62" spans="2:18" ht="15.75" customHeight="1" x14ac:dyDescent="0.3">
      <c r="B62" s="328"/>
      <c r="C62" s="329"/>
      <c r="D62" s="330"/>
      <c r="E62" s="324"/>
      <c r="F62" s="328"/>
      <c r="G62" s="329"/>
      <c r="H62" s="330"/>
      <c r="I62" s="324"/>
      <c r="J62" s="331"/>
      <c r="K62" s="331"/>
      <c r="L62" s="326"/>
      <c r="M62" s="332"/>
      <c r="N62" s="332"/>
      <c r="O62" s="324"/>
      <c r="P62" s="324"/>
      <c r="Q62" s="328"/>
      <c r="R62" s="330"/>
    </row>
    <row r="63" spans="2:18" ht="15.75" customHeight="1" x14ac:dyDescent="0.3">
      <c r="B63" s="328"/>
      <c r="C63" s="329"/>
      <c r="D63" s="330"/>
      <c r="E63" s="324"/>
      <c r="F63" s="328"/>
      <c r="G63" s="329"/>
      <c r="H63" s="330"/>
      <c r="I63" s="324"/>
      <c r="J63" s="331"/>
      <c r="K63" s="331"/>
      <c r="L63" s="326"/>
      <c r="M63" s="332"/>
      <c r="N63" s="332"/>
      <c r="O63" s="324"/>
      <c r="P63" s="324"/>
      <c r="Q63" s="328"/>
      <c r="R63" s="330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opLeftCell="C1" zoomScale="112" zoomScaleNormal="90" workbookViewId="0">
      <selection activeCell="F15" sqref="F15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2" width="14.5" style="13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160</v>
      </c>
      <c r="V3" s="133"/>
      <c r="W3" s="135" t="s">
        <v>161</v>
      </c>
      <c r="X3" s="136">
        <f>+S15+V13+X13</f>
        <v>33786.22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162</v>
      </c>
      <c r="C4" s="139">
        <f ca="1">TODAY()</f>
        <v>45124</v>
      </c>
      <c r="D4" s="140"/>
      <c r="E4" s="133"/>
      <c r="H4" s="141">
        <f>+AF7</f>
        <v>237279.98709421905</v>
      </c>
      <c r="I4" s="142" t="s">
        <v>163</v>
      </c>
      <c r="J4" s="142" t="s">
        <v>164</v>
      </c>
      <c r="N4" s="143">
        <f>+AF8</f>
        <v>174169.60000000001</v>
      </c>
      <c r="O4" s="133"/>
      <c r="P4" s="133"/>
      <c r="Q4" s="133"/>
      <c r="R4" s="133"/>
      <c r="T4" s="133"/>
      <c r="V4" s="133"/>
      <c r="W4" s="135" t="s">
        <v>165</v>
      </c>
      <c r="X4" s="136">
        <f>+W28+W27+U27+U28+S27+S28</f>
        <v>0</v>
      </c>
      <c r="Y4" s="137"/>
      <c r="AD4" s="597" t="s">
        <v>269</v>
      </c>
      <c r="AE4" s="597"/>
      <c r="AF4" s="597"/>
      <c r="AG4" s="597"/>
      <c r="AH4" s="144"/>
      <c r="AI4" s="144"/>
      <c r="AL4" s="596"/>
      <c r="AM4" s="596"/>
      <c r="AN4" s="596"/>
      <c r="AO4" s="596"/>
      <c r="AP4" s="596"/>
      <c r="AQ4" s="144"/>
      <c r="AR4" s="144"/>
    </row>
    <row r="5" spans="2:50" ht="16" x14ac:dyDescent="0.2">
      <c r="B5" s="138"/>
      <c r="C5" s="140"/>
      <c r="D5" s="140"/>
      <c r="E5" s="133"/>
      <c r="H5" s="145">
        <f>+AG7</f>
        <v>0.62970000000000004</v>
      </c>
      <c r="I5" s="146">
        <f>+('Datos Extra'!B35*(1-'Datos Extra'!D25)+AF7-AF8)+AF34+AF39+AF45</f>
        <v>200471.56941695124</v>
      </c>
      <c r="J5" s="146">
        <f>'Datos Extra'!C25</f>
        <v>205077.58298642989</v>
      </c>
      <c r="N5" s="147">
        <f>+AG8</f>
        <v>0.64370000000000005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589" t="s">
        <v>166</v>
      </c>
      <c r="AB5" s="598"/>
      <c r="AC5" s="590"/>
      <c r="AD5" s="148" t="s">
        <v>271</v>
      </c>
      <c r="AE5" s="148" t="s">
        <v>167</v>
      </c>
      <c r="AF5" s="148" t="s">
        <v>270</v>
      </c>
      <c r="AG5" s="148" t="s">
        <v>168</v>
      </c>
      <c r="AH5" s="148" t="s">
        <v>169</v>
      </c>
      <c r="AI5" s="148" t="s">
        <v>272</v>
      </c>
      <c r="AL5" s="144"/>
      <c r="AM5" s="144"/>
      <c r="AN5" s="144"/>
      <c r="AO5" s="144"/>
      <c r="AP5" s="144"/>
      <c r="AQ5" s="144"/>
      <c r="AR5" s="144"/>
      <c r="AU5" s="599"/>
      <c r="AV5" s="599"/>
      <c r="AW5" s="599"/>
      <c r="AX5" s="599"/>
    </row>
    <row r="6" spans="2:50" ht="16" x14ac:dyDescent="0.2">
      <c r="B6" s="138"/>
      <c r="C6" s="140"/>
      <c r="D6" s="140"/>
      <c r="F6" s="149" t="s">
        <v>170</v>
      </c>
      <c r="H6" s="150">
        <f>+H4*H5</f>
        <v>149415.20787322975</v>
      </c>
      <c r="J6" s="151">
        <f>+J5-I5</f>
        <v>4606.0135694786441</v>
      </c>
      <c r="K6" s="133"/>
      <c r="N6" s="152">
        <f>+N4*N5</f>
        <v>112112.97152000001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3">
        <f>+AD6-AD7-AD9</f>
        <v>-2.6550853857770562</v>
      </c>
      <c r="AA6" s="600" t="s">
        <v>171</v>
      </c>
      <c r="AB6" s="601"/>
      <c r="AC6" s="602"/>
      <c r="AD6" s="157">
        <f>Flujos!C4/(1-AE6)</f>
        <v>797189.34491461422</v>
      </c>
      <c r="AE6" s="158">
        <f>'Datos Extra'!D1</f>
        <v>8.2565315053515272E-3</v>
      </c>
      <c r="AF6" s="159">
        <f>Flujos!G4</f>
        <v>790607.32597259618</v>
      </c>
      <c r="AG6" s="340">
        <f>Flujos!H4</f>
        <v>0.60890535793133893</v>
      </c>
      <c r="AH6" s="161"/>
      <c r="AI6" s="161">
        <f t="shared" ref="AI6:AI28" si="1">+AF6/(1-AE6)</f>
        <v>797189.34491461422</v>
      </c>
      <c r="AL6" s="370"/>
      <c r="AM6" s="370"/>
      <c r="AN6" s="370"/>
      <c r="AO6" s="371"/>
      <c r="AP6" s="370"/>
      <c r="AQ6" s="370"/>
      <c r="AR6" s="370"/>
      <c r="AS6" s="361"/>
      <c r="AU6" s="362"/>
      <c r="AV6" s="362"/>
      <c r="AW6" s="362"/>
      <c r="AX6" s="362"/>
    </row>
    <row r="7" spans="2:50" ht="16" x14ac:dyDescent="0.2">
      <c r="B7" s="132"/>
      <c r="C7" s="133"/>
      <c r="D7" s="133"/>
      <c r="F7" s="143">
        <f>+AF6</f>
        <v>790607.32597259618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149</v>
      </c>
      <c r="Y7" s="137"/>
      <c r="AA7" s="603" t="s">
        <v>172</v>
      </c>
      <c r="AB7" s="604"/>
      <c r="AC7" s="605"/>
      <c r="AD7" s="157">
        <f>Flujos!C5/(1-AE7)</f>
        <v>239033</v>
      </c>
      <c r="AE7" s="158">
        <f>'Datos Extra'!D2</f>
        <v>7.3337694200423E-3</v>
      </c>
      <c r="AF7" s="159">
        <f>Flujos!G5</f>
        <v>237279.98709421905</v>
      </c>
      <c r="AG7" s="340">
        <f>Flujos!H5</f>
        <v>0.62970000000000004</v>
      </c>
      <c r="AH7" s="161"/>
      <c r="AI7" s="161">
        <f t="shared" si="1"/>
        <v>239033</v>
      </c>
      <c r="AL7" s="370"/>
      <c r="AM7" s="370"/>
      <c r="AN7" s="370"/>
      <c r="AO7" s="371"/>
      <c r="AP7" s="370"/>
      <c r="AQ7" s="370"/>
      <c r="AR7" s="370"/>
      <c r="AS7" s="361"/>
      <c r="AT7" s="363"/>
      <c r="AU7" s="364"/>
      <c r="AV7" s="364"/>
      <c r="AW7" s="364"/>
      <c r="AX7" s="364"/>
    </row>
    <row r="8" spans="2:50" ht="16" x14ac:dyDescent="0.2">
      <c r="B8" s="132"/>
      <c r="C8" s="133"/>
      <c r="D8" s="133"/>
      <c r="F8" s="147">
        <f>+AG6</f>
        <v>0.60890535793133893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5">
        <f>+AF30</f>
        <v>2908.7999999999997</v>
      </c>
      <c r="S8" s="133"/>
      <c r="U8" s="141">
        <f>+AF35</f>
        <v>12496.205</v>
      </c>
      <c r="W8" s="141">
        <f>+AF41</f>
        <v>13612.72</v>
      </c>
      <c r="X8" s="141"/>
      <c r="Y8" s="137"/>
      <c r="AA8" s="600" t="s">
        <v>173</v>
      </c>
      <c r="AB8" s="601"/>
      <c r="AC8" s="602"/>
      <c r="AD8" s="157">
        <f>Flujos!C6/(1-AE8)</f>
        <v>176000</v>
      </c>
      <c r="AE8" s="158">
        <f>'Datos Extra'!D3</f>
        <v>1.04E-2</v>
      </c>
      <c r="AF8" s="159">
        <f>Flujos!G6</f>
        <v>174169.60000000001</v>
      </c>
      <c r="AG8" s="340">
        <f>Flujos!H6</f>
        <v>0.64370000000000005</v>
      </c>
      <c r="AH8" s="161"/>
      <c r="AI8" s="161">
        <f t="shared" si="1"/>
        <v>176000</v>
      </c>
      <c r="AL8" s="370"/>
      <c r="AM8" s="370"/>
      <c r="AN8" s="370"/>
      <c r="AO8" s="371"/>
      <c r="AP8" s="370"/>
      <c r="AQ8" s="370"/>
      <c r="AR8" s="370"/>
      <c r="AS8" s="361"/>
      <c r="AT8" s="363"/>
      <c r="AU8" s="364"/>
      <c r="AV8" s="364"/>
      <c r="AW8" s="364"/>
      <c r="AX8" s="364"/>
    </row>
    <row r="9" spans="2:50" ht="16" x14ac:dyDescent="0.2">
      <c r="B9" s="132"/>
      <c r="C9" s="133"/>
      <c r="D9" s="133"/>
      <c r="F9" s="152">
        <f>+F7*F8</f>
        <v>481405.03680448246</v>
      </c>
      <c r="G9" s="133"/>
      <c r="H9" s="141">
        <f>+AF9</f>
        <v>553327.33887837711</v>
      </c>
      <c r="I9" s="133"/>
      <c r="J9" s="133"/>
      <c r="K9" s="133"/>
      <c r="L9" s="133"/>
      <c r="M9" s="133"/>
      <c r="N9" s="133"/>
      <c r="P9" s="133"/>
      <c r="Q9" s="133"/>
      <c r="R9" s="166"/>
      <c r="S9" s="133"/>
      <c r="T9" s="133"/>
      <c r="U9" s="133"/>
      <c r="W9" s="133"/>
      <c r="X9" s="133"/>
      <c r="Y9" s="137"/>
      <c r="AA9" s="603" t="s">
        <v>175</v>
      </c>
      <c r="AB9" s="604"/>
      <c r="AC9" s="605"/>
      <c r="AD9" s="157">
        <f>Flujos!C7/(1-AE9)</f>
        <v>558159</v>
      </c>
      <c r="AE9" s="158">
        <f>'Datos Extra'!D4</f>
        <v>8.6564242834441009E-3</v>
      </c>
      <c r="AF9" s="159">
        <f>Flujos!G7</f>
        <v>553327.33887837711</v>
      </c>
      <c r="AG9" s="340">
        <f>Flujos!H7</f>
        <v>0.6</v>
      </c>
      <c r="AH9" s="157"/>
      <c r="AI9" s="161">
        <f t="shared" si="1"/>
        <v>558159</v>
      </c>
      <c r="AL9" s="370"/>
      <c r="AM9" s="370"/>
      <c r="AN9" s="370"/>
      <c r="AO9" s="371"/>
      <c r="AP9" s="370"/>
      <c r="AQ9" s="370"/>
      <c r="AR9" s="370"/>
      <c r="AS9" s="361"/>
      <c r="AT9" s="363"/>
      <c r="AU9" s="365"/>
      <c r="AV9" s="365"/>
      <c r="AW9" s="365"/>
      <c r="AX9" s="365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</v>
      </c>
      <c r="I10" s="133"/>
      <c r="J10" s="133"/>
      <c r="K10" s="133"/>
      <c r="L10" s="167">
        <f>+AF34</f>
        <v>0</v>
      </c>
      <c r="M10" s="167">
        <f>+AD39</f>
        <v>0</v>
      </c>
      <c r="N10" s="167">
        <f>+AD45</f>
        <v>0</v>
      </c>
      <c r="O10" s="133"/>
      <c r="P10" s="133"/>
      <c r="Q10" s="133"/>
      <c r="R10" s="168"/>
      <c r="S10" s="133"/>
      <c r="T10" s="133"/>
      <c r="U10" s="133"/>
      <c r="W10" s="133"/>
      <c r="X10" s="133"/>
      <c r="Y10" s="137"/>
      <c r="AA10" s="154" t="s">
        <v>139</v>
      </c>
      <c r="AB10" s="155"/>
      <c r="AC10" s="156"/>
      <c r="AD10" s="157">
        <f>Flujos!C8/(1-AE10)</f>
        <v>562148</v>
      </c>
      <c r="AE10" s="158">
        <f>'Datos Extra'!D5</f>
        <v>8.6999999999999994E-3</v>
      </c>
      <c r="AF10" s="159">
        <f>Flujos!G8</f>
        <v>557257.31239999994</v>
      </c>
      <c r="AG10" s="340">
        <f>Flujos!H8</f>
        <v>0.60880000000000001</v>
      </c>
      <c r="AH10" s="161">
        <f>+(-25000)*(1-AE10)</f>
        <v>-24782.5</v>
      </c>
      <c r="AI10" s="161">
        <f t="shared" si="1"/>
        <v>562148</v>
      </c>
      <c r="AL10" s="370"/>
      <c r="AM10" s="370"/>
      <c r="AN10" s="370"/>
      <c r="AO10" s="371"/>
      <c r="AP10" s="370"/>
      <c r="AQ10" s="370"/>
      <c r="AR10" s="370"/>
      <c r="AS10" s="361"/>
      <c r="AT10" s="366"/>
      <c r="AU10" s="367"/>
      <c r="AV10" s="367"/>
      <c r="AW10" s="367"/>
      <c r="AX10" s="367"/>
    </row>
    <row r="11" spans="2:50" ht="16" x14ac:dyDescent="0.2">
      <c r="B11" s="132"/>
      <c r="C11" s="133"/>
      <c r="D11" s="133"/>
      <c r="E11" s="133"/>
      <c r="F11" s="133"/>
      <c r="G11" s="133"/>
      <c r="H11" s="150">
        <f>+H9*H10</f>
        <v>331996.40332702623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4" t="s">
        <v>8</v>
      </c>
      <c r="AB11" s="155"/>
      <c r="AC11" s="156"/>
      <c r="AD11" s="157">
        <f>Flujos!C9/(1-AE11)</f>
        <v>-550</v>
      </c>
      <c r="AE11" s="158">
        <f>'Datos Extra'!D6</f>
        <v>8.6E-3</v>
      </c>
      <c r="AF11" s="159">
        <f>Flujos!G9</f>
        <v>-545.27</v>
      </c>
      <c r="AG11" s="340">
        <f>Flujos!H9</f>
        <v>0.60880000000000001</v>
      </c>
      <c r="AH11" s="157"/>
      <c r="AI11" s="161">
        <f t="shared" si="1"/>
        <v>-550</v>
      </c>
      <c r="AL11" s="370"/>
      <c r="AM11" s="370"/>
      <c r="AN11" s="370"/>
      <c r="AO11" s="371"/>
      <c r="AP11" s="370"/>
      <c r="AQ11" s="370"/>
      <c r="AR11" s="370"/>
      <c r="AS11" s="361"/>
      <c r="AT11" s="366"/>
      <c r="AU11" s="365"/>
      <c r="AV11" s="365"/>
      <c r="AW11" s="365"/>
      <c r="AX11" s="365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9"/>
      <c r="T12" s="133"/>
      <c r="U12" s="133"/>
      <c r="W12" s="133"/>
      <c r="X12" s="133"/>
      <c r="Y12" s="137"/>
      <c r="AA12" s="154" t="s">
        <v>140</v>
      </c>
      <c r="AB12" s="155"/>
      <c r="AC12" s="156"/>
      <c r="AD12" s="157">
        <f>Flujos!C10/(1-AE12)</f>
        <v>560975.45586457069</v>
      </c>
      <c r="AE12" s="158">
        <f>'Datos Extra'!D7</f>
        <v>7.6E-3</v>
      </c>
      <c r="AF12" s="159">
        <f>Flujos!G10</f>
        <v>556712.04239999992</v>
      </c>
      <c r="AG12" s="340">
        <f>Flujos!H10</f>
        <v>0.60999257479888136</v>
      </c>
      <c r="AH12" s="157"/>
      <c r="AI12" s="161">
        <f t="shared" si="1"/>
        <v>560975.45586457069</v>
      </c>
      <c r="AL12" s="370"/>
      <c r="AM12" s="370"/>
      <c r="AN12" s="370"/>
      <c r="AO12" s="371"/>
      <c r="AP12" s="370"/>
      <c r="AQ12" s="370"/>
      <c r="AR12" s="370"/>
      <c r="AS12" s="361"/>
      <c r="AT12" s="366"/>
      <c r="AU12" s="368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70">
        <v>0</v>
      </c>
      <c r="T13" s="133"/>
      <c r="V13" s="170">
        <f>+AF36</f>
        <v>26237.154999999999</v>
      </c>
      <c r="W13" s="133"/>
      <c r="X13" s="170">
        <f>+AF42</f>
        <v>7549.0649999999996</v>
      </c>
      <c r="Y13" s="137"/>
      <c r="AA13" s="154" t="s">
        <v>87</v>
      </c>
      <c r="AB13" s="155"/>
      <c r="AC13" s="156"/>
      <c r="AD13" s="157">
        <f>Flujos!C11/(1-AE13)</f>
        <v>80959.563825055302</v>
      </c>
      <c r="AE13" s="158">
        <f>'Datos Extra'!D8</f>
        <v>0</v>
      </c>
      <c r="AF13" s="159">
        <f>Flujos!G11</f>
        <v>80959.563825055302</v>
      </c>
      <c r="AG13" s="340">
        <f>Flujos!H11</f>
        <v>8.3799220138465219E-2</v>
      </c>
      <c r="AH13" s="161"/>
      <c r="AI13" s="161">
        <f t="shared" si="1"/>
        <v>80959.563825055302</v>
      </c>
      <c r="AL13" s="370"/>
      <c r="AM13" s="370"/>
      <c r="AN13" s="370"/>
      <c r="AO13" s="371"/>
      <c r="AP13" s="370"/>
      <c r="AQ13" s="370"/>
      <c r="AR13" s="370"/>
      <c r="AS13" s="361"/>
      <c r="AT13" s="366"/>
      <c r="AU13" s="366"/>
    </row>
    <row r="14" spans="2:50" x14ac:dyDescent="0.2">
      <c r="B14" s="132"/>
      <c r="C14" s="133"/>
      <c r="D14" s="133"/>
      <c r="E14" s="171"/>
      <c r="F14" s="142" t="s">
        <v>163</v>
      </c>
      <c r="G14" s="142" t="s">
        <v>164</v>
      </c>
      <c r="H14" s="133"/>
      <c r="K14" s="133"/>
      <c r="M14" s="133"/>
      <c r="N14" s="133"/>
      <c r="O14" s="133"/>
      <c r="P14" s="133"/>
      <c r="Q14" s="172"/>
      <c r="T14" s="133"/>
      <c r="U14" s="133"/>
      <c r="W14" s="133"/>
      <c r="Y14" s="137"/>
      <c r="AA14" s="154" t="s">
        <v>141</v>
      </c>
      <c r="AB14" s="155"/>
      <c r="AC14" s="156"/>
      <c r="AD14" s="157">
        <f>Flujos!C12/(1-AE14)</f>
        <v>535601.43617494474</v>
      </c>
      <c r="AE14" s="158">
        <f>'Datos Extra'!D9</f>
        <v>0.11174159282958218</v>
      </c>
      <c r="AF14" s="159">
        <f>Flujos!G12</f>
        <v>475752.4785749446</v>
      </c>
      <c r="AG14" s="340">
        <f>Flujos!H12</f>
        <v>0.68630000000000002</v>
      </c>
      <c r="AH14" s="157"/>
      <c r="AI14" s="161">
        <f t="shared" si="1"/>
        <v>535601.43617494474</v>
      </c>
      <c r="AL14" s="370"/>
      <c r="AM14" s="370"/>
      <c r="AN14" s="370"/>
      <c r="AO14" s="371"/>
      <c r="AP14" s="370"/>
      <c r="AQ14" s="370"/>
      <c r="AR14" s="370"/>
      <c r="AS14" s="361"/>
      <c r="AT14" s="366"/>
      <c r="AU14" s="599"/>
      <c r="AV14" s="599"/>
    </row>
    <row r="15" spans="2:50" ht="16" x14ac:dyDescent="0.2">
      <c r="B15" s="132"/>
      <c r="C15" s="133"/>
      <c r="D15" s="133"/>
      <c r="E15" s="173" t="s">
        <v>40</v>
      </c>
      <c r="F15" s="174">
        <f>+'Datos Extra'!B34*(1-'Datos Extra'!D24)+AF9-AF10</f>
        <v>31.049891544738784</v>
      </c>
      <c r="G15" s="174">
        <f>'Datos Extra'!C24</f>
        <v>9482.3519670492587</v>
      </c>
      <c r="H15" s="133"/>
      <c r="I15" s="168"/>
      <c r="J15" s="133"/>
      <c r="P15" s="133"/>
      <c r="R15" s="175"/>
      <c r="S15" s="176">
        <f>+AF31</f>
        <v>0</v>
      </c>
      <c r="T15" s="177"/>
      <c r="W15" s="133"/>
      <c r="X15" s="133"/>
      <c r="Y15" s="137"/>
      <c r="Z15" s="178">
        <f>+AD15-J29</f>
        <v>509543.11949278059</v>
      </c>
      <c r="AA15" s="154" t="s">
        <v>142</v>
      </c>
      <c r="AB15" s="155"/>
      <c r="AC15" s="156"/>
      <c r="AD15" s="157">
        <f>Flujos!C13/(1-AE15)</f>
        <v>517519.11949278059</v>
      </c>
      <c r="AE15" s="158">
        <f>'Datos Extra'!D10</f>
        <v>9.8900000000000002E-2</v>
      </c>
      <c r="AF15" s="159">
        <f>Flujos!G13</f>
        <v>466336.4785749446</v>
      </c>
      <c r="AG15" s="340">
        <f>Flujos!H13</f>
        <v>0.68913249103666352</v>
      </c>
      <c r="AH15" s="157"/>
      <c r="AI15" s="161">
        <f t="shared" si="1"/>
        <v>517519.11949278059</v>
      </c>
      <c r="AL15" s="370"/>
      <c r="AM15" s="370"/>
      <c r="AN15" s="372"/>
      <c r="AO15" s="371"/>
      <c r="AP15" s="370"/>
      <c r="AQ15" s="370"/>
      <c r="AR15" s="370"/>
      <c r="AS15" s="361"/>
      <c r="AT15" s="366"/>
      <c r="AU15" s="362"/>
      <c r="AV15" s="362"/>
    </row>
    <row r="16" spans="2:50" x14ac:dyDescent="0.2">
      <c r="B16" s="132"/>
      <c r="C16" s="133"/>
      <c r="D16" s="133"/>
      <c r="G16" s="151">
        <f>+G15-F15</f>
        <v>9451.30207550452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4" t="s">
        <v>181</v>
      </c>
      <c r="AB16" s="155"/>
      <c r="AC16" s="156"/>
      <c r="AD16" s="157">
        <f>Flujos!C16/(1-AE16)</f>
        <v>201173</v>
      </c>
      <c r="AE16" s="158">
        <f>'Datos Extra'!D11</f>
        <v>8.8499999999999995E-2</v>
      </c>
      <c r="AF16" s="159">
        <f>Flujos!G16</f>
        <v>183369.18950000001</v>
      </c>
      <c r="AG16" s="340">
        <f>Flujos!H16</f>
        <v>0.68834294588788836</v>
      </c>
      <c r="AH16" s="161">
        <f>3000*(1-AE16)</f>
        <v>2734.5</v>
      </c>
      <c r="AI16" s="161">
        <f t="shared" si="1"/>
        <v>201173</v>
      </c>
      <c r="AK16" s="373"/>
      <c r="AS16" s="361"/>
      <c r="AT16" s="363"/>
      <c r="AU16" s="364"/>
      <c r="AV16" s="364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9" t="s">
        <v>182</v>
      </c>
      <c r="P17" s="133"/>
      <c r="Q17" s="133"/>
      <c r="R17" s="133"/>
      <c r="S17" s="133"/>
      <c r="T17" s="133"/>
      <c r="U17" s="165"/>
      <c r="W17" s="133"/>
      <c r="X17" s="133"/>
      <c r="Y17" s="137"/>
      <c r="AA17" s="154" t="s">
        <v>183</v>
      </c>
      <c r="AB17" s="155"/>
      <c r="AC17" s="156"/>
      <c r="AD17" s="157">
        <f>Flujos!C17/(1-AE17)</f>
        <v>0</v>
      </c>
      <c r="AE17" s="158">
        <f>'Datos Extra'!D12</f>
        <v>0</v>
      </c>
      <c r="AF17" s="159">
        <f>Flujos!G17</f>
        <v>0</v>
      </c>
      <c r="AG17" s="340">
        <f>Flujos!H17</f>
        <v>0</v>
      </c>
      <c r="AH17" s="161"/>
      <c r="AI17" s="161">
        <f t="shared" si="1"/>
        <v>0</v>
      </c>
      <c r="AQ17" s="131">
        <f>+AQ10/(1-AO10)</f>
        <v>0</v>
      </c>
      <c r="AS17" s="361"/>
      <c r="AT17" s="363"/>
      <c r="AU17" s="364"/>
      <c r="AV17" s="364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9"/>
      <c r="L18" s="180" t="s">
        <v>184</v>
      </c>
      <c r="M18" s="180" t="s">
        <v>185</v>
      </c>
      <c r="N18" s="133"/>
      <c r="O18" s="180" t="s">
        <v>186</v>
      </c>
      <c r="P18" s="133"/>
      <c r="Q18" s="133"/>
      <c r="R18" s="181"/>
      <c r="S18" s="133"/>
      <c r="T18" s="182">
        <f>-S19+S15</f>
        <v>0</v>
      </c>
      <c r="U18" s="166"/>
      <c r="W18" s="133"/>
      <c r="X18" s="133"/>
      <c r="Y18" s="137"/>
      <c r="AA18" s="154" t="s">
        <v>143</v>
      </c>
      <c r="AB18" s="155"/>
      <c r="AC18" s="156"/>
      <c r="AD18" s="157">
        <f>Flujos!C16/(1-AE18)</f>
        <v>183369.18950000001</v>
      </c>
      <c r="AE18" s="158">
        <f>'Datos Extra'!D13</f>
        <v>0</v>
      </c>
      <c r="AF18" s="159">
        <f>Flujos!G18</f>
        <v>274867.73500000004</v>
      </c>
      <c r="AG18" s="340">
        <f>Flujos!H18</f>
        <v>0.68834294588788836</v>
      </c>
      <c r="AH18" s="157"/>
      <c r="AI18" s="161">
        <f t="shared" si="1"/>
        <v>274867.73500000004</v>
      </c>
      <c r="AK18" s="183" t="s">
        <v>187</v>
      </c>
      <c r="AM18" s="184"/>
      <c r="AN18" s="183" t="s">
        <v>187</v>
      </c>
      <c r="AO18" s="184"/>
      <c r="AQ18" s="185">
        <f>+AQ17-L72</f>
        <v>-219121</v>
      </c>
      <c r="AR18" s="185"/>
      <c r="AS18" s="361"/>
      <c r="AT18" s="363"/>
      <c r="AU18" s="365"/>
      <c r="AV18" s="365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188</v>
      </c>
      <c r="L19" s="186">
        <f>+I25+G34+K35+O35</f>
        <v>570554.49239999987</v>
      </c>
      <c r="M19" s="186">
        <f>+I27</f>
        <v>334354.38743999996</v>
      </c>
      <c r="N19" s="133"/>
      <c r="O19" s="187">
        <f>(I33-AO40-AO45*(J39/P49))/I25</f>
        <v>0.86635997358641803</v>
      </c>
      <c r="P19" s="187">
        <f>+(P49+R36+H40)/I25</f>
        <v>0.83919856032918472</v>
      </c>
      <c r="Q19" s="133"/>
      <c r="R19" s="168"/>
      <c r="S19" s="188"/>
      <c r="T19" s="133"/>
      <c r="U19" s="168"/>
      <c r="W19" s="133"/>
      <c r="X19" s="133"/>
      <c r="Y19" s="137"/>
      <c r="AA19" s="154" t="s">
        <v>189</v>
      </c>
      <c r="AB19" s="155"/>
      <c r="AC19" s="156"/>
      <c r="AD19" s="157">
        <f>Flujos!C17/(1-AE19)</f>
        <v>0</v>
      </c>
      <c r="AE19" s="158">
        <f>'Datos Extra'!D14</f>
        <v>8.8099999999999998E-2</v>
      </c>
      <c r="AF19" s="159">
        <f>Flujos!G19</f>
        <v>332236.17460000003</v>
      </c>
      <c r="AG19" s="340">
        <f>Flujos!H19</f>
        <v>0.68740042268907109</v>
      </c>
      <c r="AH19" s="161"/>
      <c r="AI19" s="161">
        <f t="shared" si="1"/>
        <v>364334</v>
      </c>
      <c r="AK19" s="179" t="s">
        <v>190</v>
      </c>
      <c r="AL19" s="163">
        <v>812104</v>
      </c>
      <c r="AN19" s="131" t="s">
        <v>191</v>
      </c>
      <c r="AQ19" s="189">
        <f>+AL10-K72</f>
        <v>-382282</v>
      </c>
      <c r="AS19" s="361"/>
      <c r="AT19" s="366"/>
      <c r="AU19" s="367"/>
      <c r="AV19" s="367"/>
    </row>
    <row r="20" spans="2:50" ht="16" x14ac:dyDescent="0.2">
      <c r="B20" s="132"/>
      <c r="C20" s="133"/>
      <c r="D20" s="133"/>
      <c r="E20" s="133"/>
      <c r="F20" s="133"/>
      <c r="G20" s="165">
        <f>+AF10</f>
        <v>557257.31239999994</v>
      </c>
      <c r="H20" s="133"/>
      <c r="J20" s="133"/>
      <c r="K20" s="135" t="s">
        <v>192</v>
      </c>
      <c r="L20" s="186">
        <f>+F27+H40+P41</f>
        <v>561764.22832505521</v>
      </c>
      <c r="M20" s="186">
        <f>+F29+H42+P51+R38+R45</f>
        <v>327930.80418916611</v>
      </c>
      <c r="N20" s="133"/>
      <c r="O20" s="180" t="s">
        <v>193</v>
      </c>
      <c r="P20" s="190"/>
      <c r="Q20" s="133"/>
      <c r="S20" s="191"/>
      <c r="T20" s="133"/>
      <c r="U20" s="133"/>
      <c r="W20" s="170">
        <f>+X13-W28</f>
        <v>7549.0649999999996</v>
      </c>
      <c r="X20" s="170">
        <f>+W28+W27</f>
        <v>0</v>
      </c>
      <c r="Y20" s="137"/>
      <c r="AA20" s="154" t="s">
        <v>194</v>
      </c>
      <c r="AB20" s="155"/>
      <c r="AC20" s="156"/>
      <c r="AD20" s="157">
        <f>Flujos!C18/(1-AE20)</f>
        <v>275418.57214428863</v>
      </c>
      <c r="AE20" s="158">
        <f>'Datos Extra'!D15</f>
        <v>2E-3</v>
      </c>
      <c r="AF20" s="159">
        <f>Flujos!G20</f>
        <v>13612.72</v>
      </c>
      <c r="AG20" s="340">
        <f>Flujos!H20</f>
        <v>0</v>
      </c>
      <c r="AH20" s="161"/>
      <c r="AI20" s="161">
        <f t="shared" si="1"/>
        <v>13640</v>
      </c>
      <c r="AK20" s="179" t="s">
        <v>195</v>
      </c>
      <c r="AL20" s="163">
        <f>783793+13399</f>
        <v>797192</v>
      </c>
      <c r="AN20" s="131" t="s">
        <v>196</v>
      </c>
      <c r="AT20" s="366"/>
      <c r="AU20" s="365"/>
      <c r="AV20" s="365"/>
    </row>
    <row r="21" spans="2:50" ht="15.75" customHeight="1" x14ac:dyDescent="0.2">
      <c r="B21" s="132"/>
      <c r="C21" s="133"/>
      <c r="D21" s="133"/>
      <c r="E21" s="133"/>
      <c r="F21" s="133"/>
      <c r="G21" s="166">
        <f>+AG9</f>
        <v>0.6</v>
      </c>
      <c r="H21" s="133"/>
      <c r="J21" s="133"/>
      <c r="K21" s="135" t="s">
        <v>197</v>
      </c>
      <c r="L21" s="186">
        <f>+L20-L19</f>
        <v>-8790.2640749446582</v>
      </c>
      <c r="M21" s="186">
        <f>+M20-M19</f>
        <v>-6423.5832508338499</v>
      </c>
      <c r="N21" s="133"/>
      <c r="O21" s="192">
        <f>(I35-AO40*AG19-AO45*AG28*J39/P49)/I27</f>
        <v>0.99336272867831332</v>
      </c>
      <c r="P21" s="187">
        <f>+(P51+R38+H42)/I27</f>
        <v>0.93381548230111933</v>
      </c>
      <c r="Q21" s="133"/>
      <c r="R21" s="133"/>
      <c r="S21" s="133"/>
      <c r="T21" s="133"/>
      <c r="U21" s="133"/>
      <c r="V21" s="170">
        <f>+V13</f>
        <v>26237.154999999999</v>
      </c>
      <c r="W21" s="133"/>
      <c r="X21" s="133"/>
      <c r="Y21" s="137"/>
      <c r="AA21" s="154" t="s">
        <v>198</v>
      </c>
      <c r="AB21" s="155"/>
      <c r="AC21" s="156"/>
      <c r="AD21" s="157">
        <f>Flujos!C19/(1-AE21)</f>
        <v>403556.02651194268</v>
      </c>
      <c r="AE21" s="158">
        <f>'Datos Extra'!D16</f>
        <v>0.17672850168632548</v>
      </c>
      <c r="AF21" s="159">
        <f>Flujos!G21</f>
        <v>288480.45500000002</v>
      </c>
      <c r="AG21" s="340">
        <f>Flujos!H21</f>
        <v>0.65711473548083466</v>
      </c>
      <c r="AH21" s="157"/>
      <c r="AI21" s="161">
        <f t="shared" si="1"/>
        <v>350407.43617494474</v>
      </c>
      <c r="AK21" s="184" t="s">
        <v>199</v>
      </c>
      <c r="AL21" s="185">
        <f>+AL19-AL20</f>
        <v>14912</v>
      </c>
      <c r="AT21" s="366"/>
      <c r="AU21" s="368"/>
      <c r="AX21" s="369"/>
    </row>
    <row r="22" spans="2:50" ht="15.75" customHeight="1" x14ac:dyDescent="0.2">
      <c r="B22" s="132"/>
      <c r="C22" s="133"/>
      <c r="D22" s="133"/>
      <c r="E22" s="133"/>
      <c r="F22" s="133"/>
      <c r="G22" s="152">
        <f>+G20*G21</f>
        <v>334354.38743999996</v>
      </c>
      <c r="H22" s="133"/>
      <c r="I22" s="193">
        <f>-AP8</f>
        <v>0</v>
      </c>
      <c r="J22" s="133"/>
      <c r="K22" s="135" t="s">
        <v>200</v>
      </c>
      <c r="L22" s="167">
        <f>AO40+AO45+AO50+AO55</f>
        <v>-18573</v>
      </c>
      <c r="M22" s="194"/>
      <c r="N22" s="133"/>
      <c r="O22" s="133"/>
      <c r="P22" s="133"/>
      <c r="Q22" s="133"/>
      <c r="S22" s="133"/>
      <c r="U22" s="133"/>
      <c r="W22" s="133"/>
      <c r="Y22" s="137"/>
      <c r="AA22" s="154" t="s">
        <v>144</v>
      </c>
      <c r="AB22" s="155"/>
      <c r="AC22" s="156"/>
      <c r="AD22" s="157">
        <f>Flujos!C20/(1-AE22)</f>
        <v>13681.125628140702</v>
      </c>
      <c r="AE22" s="158">
        <f>'Datos Extra'!D17</f>
        <v>5.0000000000000001E-3</v>
      </c>
      <c r="AF22" s="159">
        <f>Flujos!G22</f>
        <v>5432.7</v>
      </c>
      <c r="AG22" s="340">
        <f>Flujos!H22</f>
        <v>0.65535413283291699</v>
      </c>
      <c r="AH22" s="157"/>
      <c r="AI22" s="161">
        <f t="shared" si="1"/>
        <v>5460</v>
      </c>
      <c r="AQ22" s="195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6">
        <f>+I22*G21</f>
        <v>0</v>
      </c>
      <c r="J23" s="133"/>
      <c r="K23" s="135" t="s">
        <v>201</v>
      </c>
      <c r="L23" s="197">
        <f>+L21-L22</f>
        <v>9782.7359250553418</v>
      </c>
      <c r="M23" s="194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4" t="s">
        <v>145</v>
      </c>
      <c r="AB23" s="155"/>
      <c r="AC23" s="156"/>
      <c r="AD23" s="157">
        <f>Flujos!C21/(1-AE23)</f>
        <v>289977.11105706875</v>
      </c>
      <c r="AE23" s="158">
        <f>'Datos Extra'!D18</f>
        <v>5.1612903225806139E-3</v>
      </c>
      <c r="AF23" s="159">
        <f>Flujos!G23</f>
        <v>775</v>
      </c>
      <c r="AG23" s="340">
        <f>Flujos!H23</f>
        <v>0</v>
      </c>
      <c r="AH23" s="157"/>
      <c r="AI23" s="161">
        <f t="shared" si="1"/>
        <v>779.02075226977945</v>
      </c>
      <c r="AK23" s="183" t="s">
        <v>202</v>
      </c>
      <c r="AQ23" s="195"/>
    </row>
    <row r="24" spans="2:50" ht="15.75" customHeight="1" x14ac:dyDescent="0.2">
      <c r="B24" s="132"/>
      <c r="C24" s="133"/>
      <c r="D24" s="133"/>
      <c r="E24" s="133"/>
      <c r="F24" s="198">
        <f>I25-F27-J29-I33</f>
        <v>1440</v>
      </c>
      <c r="G24" s="198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4" t="s">
        <v>146</v>
      </c>
      <c r="AB24" s="155"/>
      <c r="AC24" s="156"/>
      <c r="AD24" s="157">
        <f>Flujos!C22/(1-AE24)</f>
        <v>5459.9999999999991</v>
      </c>
      <c r="AE24" s="158">
        <f>'Datos Extra'!D19</f>
        <v>4.9999999999998934E-3</v>
      </c>
      <c r="AF24" s="159">
        <f>Flujos!G24</f>
        <v>289255.45500000002</v>
      </c>
      <c r="AG24" s="340">
        <f>Flujos!H24</f>
        <v>0.65535413283291699</v>
      </c>
      <c r="AH24" s="157"/>
      <c r="AI24" s="161">
        <f t="shared" si="1"/>
        <v>290709</v>
      </c>
      <c r="AK24" s="179" t="s">
        <v>190</v>
      </c>
      <c r="AL24" s="163">
        <v>612276</v>
      </c>
      <c r="AN24" s="195">
        <f>+AI15-AI16-AI17</f>
        <v>316346.11949278059</v>
      </c>
      <c r="AP24" s="189">
        <f>+AL24+H73</f>
        <v>612276</v>
      </c>
      <c r="AQ24" s="195"/>
    </row>
    <row r="25" spans="2:50" ht="15.75" customHeight="1" x14ac:dyDescent="0.2">
      <c r="B25" s="132"/>
      <c r="C25" s="133"/>
      <c r="D25" s="133"/>
      <c r="E25" s="133"/>
      <c r="F25" s="133"/>
      <c r="G25" s="198"/>
      <c r="H25" s="133"/>
      <c r="I25" s="141">
        <f>+AF12</f>
        <v>556712.04239999992</v>
      </c>
      <c r="J25" s="198"/>
      <c r="R25" s="133"/>
      <c r="S25" s="133"/>
      <c r="T25" s="133"/>
      <c r="U25" s="133"/>
      <c r="W25" s="133"/>
      <c r="X25" s="133"/>
      <c r="Y25" s="137"/>
      <c r="AA25" s="374" t="s">
        <v>147</v>
      </c>
      <c r="AB25" s="375"/>
      <c r="AC25" s="376"/>
      <c r="AD25" s="157">
        <f>Flujos!C25/(1-AE25)</f>
        <v>12559</v>
      </c>
      <c r="AE25" s="158">
        <f>'Datos Extra'!D20</f>
        <v>5.0000000000000001E-3</v>
      </c>
      <c r="AF25" s="159">
        <f>Flujos!G25</f>
        <v>12496.205</v>
      </c>
      <c r="AG25" s="340">
        <f>Flujos!H25</f>
        <v>0.65535413283291699</v>
      </c>
      <c r="AH25" s="161"/>
      <c r="AI25" s="161">
        <f t="shared" si="1"/>
        <v>12559</v>
      </c>
      <c r="AK25" s="179" t="s">
        <v>195</v>
      </c>
      <c r="AL25" s="163">
        <f>587148</f>
        <v>587148</v>
      </c>
      <c r="AP25" s="189">
        <f>+AL25+H76</f>
        <v>587148</v>
      </c>
      <c r="AQ25" s="199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+I27/I25</f>
        <v>0.60058766826488896</v>
      </c>
      <c r="J26" s="133"/>
      <c r="R26" s="133"/>
      <c r="S26" s="133"/>
      <c r="T26" s="198"/>
      <c r="U26" s="133"/>
      <c r="W26" s="133"/>
      <c r="X26" s="133"/>
      <c r="Y26" s="137"/>
      <c r="AA26" s="374" t="s">
        <v>148</v>
      </c>
      <c r="AB26" s="375"/>
      <c r="AC26" s="376"/>
      <c r="AD26" s="157">
        <f>Flujos!C26/(1-AE26)</f>
        <v>272690</v>
      </c>
      <c r="AE26" s="158">
        <f>'Datos Extra'!D21</f>
        <v>5.0000000000000001E-3</v>
      </c>
      <c r="AF26" s="159">
        <f>Flujos!G26</f>
        <v>271326.55</v>
      </c>
      <c r="AG26" s="340">
        <f>Flujos!H26</f>
        <v>0.65535413283291699</v>
      </c>
      <c r="AH26" s="161"/>
      <c r="AI26" s="161">
        <f t="shared" si="1"/>
        <v>272690</v>
      </c>
      <c r="AK26" s="184" t="s">
        <v>199</v>
      </c>
      <c r="AL26" s="185">
        <f>+AL24-AL25</f>
        <v>25128</v>
      </c>
    </row>
    <row r="27" spans="2:50" ht="15.75" customHeight="1" x14ac:dyDescent="0.2">
      <c r="B27" s="132"/>
      <c r="C27" s="133"/>
      <c r="D27" s="133"/>
      <c r="E27" s="133"/>
      <c r="F27" s="143">
        <f>+AF13</f>
        <v>80959.563825055302</v>
      </c>
      <c r="G27" s="133"/>
      <c r="H27" s="200">
        <f>+I25-F27-J29-I33+G34</f>
        <v>894.73</v>
      </c>
      <c r="I27" s="150">
        <f>+G22+I23</f>
        <v>334354.38743999996</v>
      </c>
      <c r="J27" s="133"/>
      <c r="K27" s="133"/>
      <c r="L27" s="133"/>
      <c r="M27" s="133"/>
      <c r="O27" s="133"/>
      <c r="P27" s="133"/>
      <c r="Q27" s="133"/>
      <c r="R27" s="183" t="s">
        <v>203</v>
      </c>
      <c r="S27" s="175">
        <f>+AF34</f>
        <v>0</v>
      </c>
      <c r="T27" s="133"/>
      <c r="U27" s="201">
        <f>+AF40</f>
        <v>0</v>
      </c>
      <c r="W27" s="201">
        <f>+AF45</f>
        <v>0</v>
      </c>
      <c r="X27" s="133"/>
      <c r="Y27" s="137"/>
      <c r="AA27" s="154" t="s">
        <v>10</v>
      </c>
      <c r="AB27" s="155"/>
      <c r="AC27" s="156"/>
      <c r="AD27" s="157">
        <f>Flujos!C27/(1-AE27)</f>
        <v>32524</v>
      </c>
      <c r="AE27" s="158">
        <f>'Datos Extra'!D22</f>
        <v>5.0000000000000001E-3</v>
      </c>
      <c r="AF27" s="159">
        <f>Flujos!G27</f>
        <v>32361.38</v>
      </c>
      <c r="AG27" s="340">
        <f>Flujos!H27</f>
        <v>0.65535413283291699</v>
      </c>
      <c r="AH27" s="157"/>
      <c r="AI27" s="161">
        <f t="shared" si="1"/>
        <v>32524</v>
      </c>
      <c r="AN27" s="131">
        <v>474948</v>
      </c>
    </row>
    <row r="28" spans="2:50" ht="15.75" customHeight="1" thickBot="1" x14ac:dyDescent="0.25">
      <c r="B28" s="132"/>
      <c r="C28" s="133"/>
      <c r="D28" s="133"/>
      <c r="E28" s="133"/>
      <c r="F28" s="147">
        <f>+AG13</f>
        <v>8.3799220138465219E-2</v>
      </c>
      <c r="G28" s="133"/>
      <c r="H28" s="200">
        <f>+I27-I35-F29-J31+G35</f>
        <v>943.74951370520023</v>
      </c>
      <c r="I28" s="133"/>
      <c r="J28" s="149" t="s">
        <v>204</v>
      </c>
      <c r="K28" s="202" t="s">
        <v>205</v>
      </c>
      <c r="L28" s="133"/>
      <c r="M28" s="133"/>
      <c r="N28" s="133"/>
      <c r="O28" s="133"/>
      <c r="P28" s="133"/>
      <c r="Q28" s="133"/>
      <c r="R28" s="183" t="s">
        <v>206</v>
      </c>
      <c r="S28" s="177">
        <f>+AF33</f>
        <v>0</v>
      </c>
      <c r="T28" s="133"/>
      <c r="U28" s="134"/>
      <c r="W28" s="203">
        <f>+AF44</f>
        <v>0</v>
      </c>
      <c r="X28" s="198"/>
      <c r="Y28" s="137"/>
      <c r="AA28" s="204" t="s">
        <v>207</v>
      </c>
      <c r="AB28" s="205"/>
      <c r="AC28" s="206"/>
      <c r="AD28" s="157">
        <f>Flujos!C28/(1-AE28)</f>
        <v>240611</v>
      </c>
      <c r="AE28" s="158">
        <f>'Datos Extra'!D23</f>
        <v>1.0609981671660898E-2</v>
      </c>
      <c r="AF28" s="159">
        <f>Flujos!G28</f>
        <v>238058.12169999999</v>
      </c>
      <c r="AG28" s="340">
        <f>Flujos!H28</f>
        <v>0.65506562002568458</v>
      </c>
      <c r="AH28" s="207"/>
      <c r="AI28" s="207">
        <f t="shared" si="1"/>
        <v>240611</v>
      </c>
      <c r="AK28" s="183" t="s">
        <v>107</v>
      </c>
      <c r="AN28" s="131">
        <v>3826</v>
      </c>
    </row>
    <row r="29" spans="2:50" ht="15.75" customHeight="1" thickBot="1" x14ac:dyDescent="0.25">
      <c r="B29" s="132"/>
      <c r="C29" s="133"/>
      <c r="D29" s="133"/>
      <c r="E29" s="133"/>
      <c r="F29" s="152">
        <f>+F27*F28</f>
        <v>6784.3483112899348</v>
      </c>
      <c r="G29" s="133"/>
      <c r="H29" s="133"/>
      <c r="J29" s="208">
        <f>10000-2024</f>
        <v>7976</v>
      </c>
      <c r="K29" s="209">
        <f>+I25-F27-H40-P41+K35+O35+G34+L22</f>
        <v>-9782.7359250554127</v>
      </c>
      <c r="M29" s="210"/>
      <c r="N29" s="189"/>
      <c r="O29" s="198"/>
      <c r="P29" s="133"/>
      <c r="Q29" s="133"/>
      <c r="R29" s="133"/>
      <c r="S29" s="133"/>
      <c r="T29" s="133"/>
      <c r="U29" s="133"/>
      <c r="W29" s="133"/>
      <c r="X29" s="133"/>
      <c r="Y29" s="137"/>
      <c r="AA29" s="606" t="s">
        <v>160</v>
      </c>
      <c r="AB29" s="607"/>
      <c r="AC29" s="607"/>
      <c r="AD29" s="607"/>
      <c r="AE29" s="607"/>
      <c r="AF29" s="607"/>
      <c r="AG29" s="607"/>
      <c r="AH29" s="607"/>
      <c r="AI29" s="211"/>
      <c r="AK29" s="179" t="s">
        <v>190</v>
      </c>
      <c r="AL29" s="163">
        <v>191229</v>
      </c>
      <c r="AN29" s="131">
        <v>264630</v>
      </c>
    </row>
    <row r="30" spans="2:50" ht="15.75" customHeight="1" x14ac:dyDescent="0.2">
      <c r="B30" s="132"/>
      <c r="C30" s="133"/>
      <c r="D30" s="133"/>
      <c r="E30" s="133"/>
      <c r="F30" s="133"/>
      <c r="G30" s="133"/>
      <c r="H30" s="133"/>
      <c r="J30" s="212">
        <v>0.61219999999999997</v>
      </c>
      <c r="M30" s="213"/>
      <c r="N30" s="213"/>
      <c r="U30" s="133"/>
      <c r="W30" s="133"/>
      <c r="X30" s="133"/>
      <c r="Y30" s="137"/>
      <c r="AA30" s="214" t="s">
        <v>208</v>
      </c>
      <c r="AB30" s="215"/>
      <c r="AC30" s="216"/>
      <c r="AD30" s="217">
        <v>3030</v>
      </c>
      <c r="AE30" s="218">
        <v>0.04</v>
      </c>
      <c r="AF30" s="219">
        <f t="shared" ref="AF30:AF36" si="2">+AD30*(1-AE30)+AH30</f>
        <v>2908.7999999999997</v>
      </c>
      <c r="AG30" s="218">
        <v>0.57999999999999996</v>
      </c>
      <c r="AH30" s="217"/>
      <c r="AI30" s="217"/>
      <c r="AK30" s="179" t="s">
        <v>195</v>
      </c>
      <c r="AL30" s="163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133"/>
      <c r="G31" s="133"/>
      <c r="H31" s="133"/>
      <c r="J31" s="220">
        <f>+J29*J30</f>
        <v>4882.9071999999996</v>
      </c>
      <c r="W31" s="133"/>
      <c r="Y31" s="137"/>
      <c r="AA31" s="154" t="s">
        <v>209</v>
      </c>
      <c r="AB31" s="155"/>
      <c r="AC31" s="156"/>
      <c r="AD31" s="161">
        <v>0</v>
      </c>
      <c r="AE31" s="160">
        <v>0</v>
      </c>
      <c r="AF31" s="159">
        <f t="shared" si="2"/>
        <v>0</v>
      </c>
      <c r="AG31" s="160">
        <v>0</v>
      </c>
      <c r="AH31" s="161"/>
      <c r="AI31" s="161"/>
      <c r="AK31" s="184" t="s">
        <v>199</v>
      </c>
      <c r="AL31" s="185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4" t="s">
        <v>210</v>
      </c>
      <c r="AB32" s="155"/>
      <c r="AC32" s="156"/>
      <c r="AD32" s="161"/>
      <c r="AE32" s="160"/>
      <c r="AF32" s="159">
        <f t="shared" si="2"/>
        <v>0</v>
      </c>
      <c r="AG32" s="160"/>
      <c r="AH32" s="161"/>
      <c r="AI32" s="161"/>
    </row>
    <row r="33" spans="2:43" ht="15.75" customHeight="1" x14ac:dyDescent="0.2">
      <c r="B33" s="132"/>
      <c r="C33" s="133"/>
      <c r="D33" s="133"/>
      <c r="E33" s="198"/>
      <c r="G33" s="133"/>
      <c r="H33" s="133"/>
      <c r="I33" s="141">
        <f>+AF15</f>
        <v>466336.4785749446</v>
      </c>
      <c r="J33" s="198"/>
      <c r="Q33" s="189"/>
      <c r="T33" s="486"/>
      <c r="U33" s="486"/>
      <c r="Y33" s="137"/>
      <c r="AA33" s="154" t="s">
        <v>211</v>
      </c>
      <c r="AB33" s="155"/>
      <c r="AC33" s="156"/>
      <c r="AD33" s="161"/>
      <c r="AE33" s="160"/>
      <c r="AF33" s="159">
        <f t="shared" si="2"/>
        <v>0</v>
      </c>
      <c r="AG33" s="160"/>
      <c r="AH33" s="161"/>
      <c r="AI33" s="161"/>
      <c r="AK33" s="183" t="s">
        <v>212</v>
      </c>
      <c r="AN33" s="221" t="s">
        <v>213</v>
      </c>
      <c r="AO33" s="221" t="s">
        <v>214</v>
      </c>
    </row>
    <row r="34" spans="2:43" ht="15.75" customHeight="1" x14ac:dyDescent="0.2">
      <c r="B34" s="132"/>
      <c r="C34" s="133"/>
      <c r="D34" s="133"/>
      <c r="E34" s="133"/>
      <c r="F34" s="133"/>
      <c r="G34" s="222">
        <f>Flujos!G9</f>
        <v>-545.27</v>
      </c>
      <c r="H34" s="133"/>
      <c r="I34" s="145">
        <f>+AG15</f>
        <v>0.68913249103666352</v>
      </c>
      <c r="S34" s="173"/>
      <c r="T34" s="487"/>
      <c r="U34" s="487"/>
      <c r="V34" s="133"/>
      <c r="Y34" s="137"/>
      <c r="AA34" s="154" t="s">
        <v>215</v>
      </c>
      <c r="AB34" s="155"/>
      <c r="AC34" s="156"/>
      <c r="AD34" s="161">
        <v>0</v>
      </c>
      <c r="AE34" s="160">
        <v>0</v>
      </c>
      <c r="AF34" s="157">
        <f t="shared" si="2"/>
        <v>0</v>
      </c>
      <c r="AG34" s="160">
        <v>0</v>
      </c>
      <c r="AH34" s="161"/>
      <c r="AI34" s="161">
        <f>+AF34/(1-AE34)</f>
        <v>0</v>
      </c>
      <c r="AK34" s="179" t="s">
        <v>190</v>
      </c>
      <c r="AL34" s="163">
        <v>278637</v>
      </c>
      <c r="AN34" s="221">
        <v>39050</v>
      </c>
      <c r="AO34" s="221">
        <v>253801</v>
      </c>
    </row>
    <row r="35" spans="2:43" ht="15.75" customHeight="1" x14ac:dyDescent="0.2">
      <c r="B35" s="132"/>
      <c r="C35" s="133"/>
      <c r="D35" s="142" t="s">
        <v>163</v>
      </c>
      <c r="E35" s="142" t="s">
        <v>164</v>
      </c>
      <c r="F35" s="133"/>
      <c r="G35" s="223">
        <f>+G34*I34</f>
        <v>-375.76327338756153</v>
      </c>
      <c r="H35" s="133"/>
      <c r="I35" s="150">
        <f>+I33*I34</f>
        <v>321367.61914161727</v>
      </c>
      <c r="J35" s="183" t="s">
        <v>216</v>
      </c>
      <c r="K35" s="208">
        <f>+AF20</f>
        <v>13612.72</v>
      </c>
      <c r="O35" s="141">
        <f>+AF23</f>
        <v>775</v>
      </c>
      <c r="V35" s="133"/>
      <c r="Y35" s="137"/>
      <c r="AA35" s="154" t="s">
        <v>217</v>
      </c>
      <c r="AB35" s="155"/>
      <c r="AC35" s="156"/>
      <c r="AD35" s="157">
        <f>+AD25</f>
        <v>12559</v>
      </c>
      <c r="AE35" s="158">
        <f>+AE25</f>
        <v>5.0000000000000001E-3</v>
      </c>
      <c r="AF35" s="157">
        <f t="shared" si="2"/>
        <v>12496.205</v>
      </c>
      <c r="AG35" s="158">
        <f>+AG25</f>
        <v>0.65535413283291699</v>
      </c>
      <c r="AH35" s="161"/>
      <c r="AI35" s="161"/>
      <c r="AK35" s="179" t="s">
        <v>195</v>
      </c>
      <c r="AL35" s="163">
        <v>272690</v>
      </c>
      <c r="AN35" s="221">
        <v>39050</v>
      </c>
      <c r="AO35" s="221">
        <v>254001</v>
      </c>
    </row>
    <row r="36" spans="2:43" ht="15.75" customHeight="1" x14ac:dyDescent="0.2">
      <c r="B36" s="132"/>
      <c r="C36" s="173" t="s">
        <v>40</v>
      </c>
      <c r="D36" s="146">
        <f>+'Datos Extra'!B38*(1-'Datos Extra'!D28)+AF16+AF17-AF19</f>
        <v>197465.38294752873</v>
      </c>
      <c r="E36" s="146">
        <f>'Datos Extra'!C28</f>
        <v>199200.56185376065</v>
      </c>
      <c r="F36" s="133"/>
      <c r="H36" s="133"/>
      <c r="I36" s="133"/>
      <c r="J36" s="224">
        <v>8100</v>
      </c>
      <c r="R36" s="165">
        <f>+AF25</f>
        <v>12496.205</v>
      </c>
      <c r="V36" s="133"/>
      <c r="W36" s="166"/>
      <c r="X36" s="166"/>
      <c r="Y36" s="137"/>
      <c r="AA36" s="154" t="s">
        <v>218</v>
      </c>
      <c r="AB36" s="155"/>
      <c r="AC36" s="156"/>
      <c r="AD36" s="161">
        <v>26369</v>
      </c>
      <c r="AE36" s="160">
        <v>5.0000000000000001E-3</v>
      </c>
      <c r="AF36" s="157">
        <f t="shared" si="2"/>
        <v>26237.154999999999</v>
      </c>
      <c r="AG36" s="160">
        <f>+AG26</f>
        <v>0.65535413283291699</v>
      </c>
      <c r="AH36" s="161"/>
      <c r="AI36" s="161"/>
      <c r="AK36" s="184" t="s">
        <v>199</v>
      </c>
      <c r="AL36" s="185">
        <f>+AL34-AL35</f>
        <v>5947</v>
      </c>
    </row>
    <row r="37" spans="2:43" ht="15.75" customHeight="1" x14ac:dyDescent="0.2">
      <c r="B37" s="132"/>
      <c r="E37" s="151">
        <f>+E36-D36</f>
        <v>1735.1789062319149</v>
      </c>
      <c r="G37" s="224">
        <f>+I33-J39-H40-J36</f>
        <v>-0.44592505545006134</v>
      </c>
      <c r="H37" s="133"/>
      <c r="I37" s="141"/>
      <c r="J37" s="224">
        <f>+J36*I34</f>
        <v>5581.9731773969743</v>
      </c>
      <c r="Q37" s="224">
        <f>+M39+O35-P41</f>
        <v>-8180.0199999999604</v>
      </c>
      <c r="R37" s="166">
        <f>+AG25</f>
        <v>0.65535413283291699</v>
      </c>
      <c r="V37" s="208">
        <f>Flujos!G35</f>
        <v>0</v>
      </c>
      <c r="W37" s="168"/>
      <c r="X37" s="168"/>
      <c r="Y37" s="137"/>
      <c r="AA37" s="154" t="s">
        <v>219</v>
      </c>
      <c r="AB37" s="155"/>
      <c r="AC37" s="156"/>
      <c r="AD37" s="161"/>
      <c r="AE37" s="160"/>
      <c r="AF37" s="157"/>
      <c r="AG37" s="160"/>
      <c r="AH37" s="161"/>
      <c r="AI37" s="161"/>
    </row>
    <row r="38" spans="2:43" ht="15.75" customHeight="1" x14ac:dyDescent="0.2">
      <c r="B38" s="132"/>
      <c r="G38" s="224">
        <f>+I35-J41-H42-J37</f>
        <v>0</v>
      </c>
      <c r="H38" s="133"/>
      <c r="I38" s="145"/>
      <c r="J38" s="133"/>
      <c r="Q38" s="224">
        <f>+M41-P43</f>
        <v>-5360.8099136559176</v>
      </c>
      <c r="R38" s="168">
        <f>+R36*R37</f>
        <v>8189.4395914773613</v>
      </c>
      <c r="V38" s="236">
        <f>Flujos!H35</f>
        <v>0</v>
      </c>
      <c r="W38" s="133"/>
      <c r="X38" s="133"/>
      <c r="Y38" s="137"/>
      <c r="AA38" s="154" t="s">
        <v>220</v>
      </c>
      <c r="AB38" s="155"/>
      <c r="AC38" s="156"/>
      <c r="AD38" s="161"/>
      <c r="AE38" s="160"/>
      <c r="AF38" s="157">
        <f>+AD38*(1-AE38)+AH38</f>
        <v>0</v>
      </c>
      <c r="AG38" s="160"/>
      <c r="AH38" s="161"/>
      <c r="AI38" s="161"/>
    </row>
    <row r="39" spans="2:43" ht="15.75" customHeight="1" x14ac:dyDescent="0.2">
      <c r="B39" s="132"/>
      <c r="C39" s="133"/>
      <c r="D39" s="133"/>
      <c r="G39" s="133"/>
      <c r="H39" s="133"/>
      <c r="I39" s="150"/>
      <c r="J39" s="141">
        <f>+AF18</f>
        <v>274867.73500000004</v>
      </c>
      <c r="M39" s="141">
        <f>+AF21</f>
        <v>288480.45500000002</v>
      </c>
      <c r="V39" s="220">
        <f>V38*V37</f>
        <v>0</v>
      </c>
      <c r="W39" s="133"/>
      <c r="X39" s="133"/>
      <c r="Y39" s="137"/>
      <c r="AA39" s="154" t="s">
        <v>221</v>
      </c>
      <c r="AB39" s="155"/>
      <c r="AC39" s="156"/>
      <c r="AD39" s="161"/>
      <c r="AE39" s="160"/>
      <c r="AF39" s="157">
        <f>+AD39*(1-AE39)+AH39</f>
        <v>0</v>
      </c>
      <c r="AG39" s="160"/>
      <c r="AH39" s="161"/>
      <c r="AI39" s="161"/>
      <c r="AK39" s="597" t="s">
        <v>222</v>
      </c>
      <c r="AL39" s="597"/>
      <c r="AM39" s="144" t="s">
        <v>190</v>
      </c>
      <c r="AN39" s="144" t="s">
        <v>223</v>
      </c>
      <c r="AP39" s="131" t="s">
        <v>224</v>
      </c>
      <c r="AQ39" s="131" t="s">
        <v>225</v>
      </c>
    </row>
    <row r="40" spans="2:43" ht="15.75" customHeight="1" x14ac:dyDescent="0.2">
      <c r="B40" s="132"/>
      <c r="C40" s="133"/>
      <c r="D40" s="133"/>
      <c r="F40" s="141">
        <f>+AF16</f>
        <v>183369.18950000001</v>
      </c>
      <c r="G40" s="133"/>
      <c r="H40" s="165">
        <f>+F40+G45</f>
        <v>183369.18950000001</v>
      </c>
      <c r="J40" s="145">
        <f>+AG18</f>
        <v>0.68834294588788836</v>
      </c>
      <c r="K40" s="200">
        <f>+J39-M39+K35</f>
        <v>2.7284841053187847E-11</v>
      </c>
      <c r="M40" s="145">
        <f>+AG21</f>
        <v>0.65711473548083466</v>
      </c>
      <c r="W40" s="133"/>
      <c r="X40" s="133"/>
      <c r="Y40" s="137"/>
      <c r="AA40" s="154" t="s">
        <v>226</v>
      </c>
      <c r="AB40" s="155"/>
      <c r="AC40" s="156"/>
      <c r="AD40" s="161"/>
      <c r="AE40" s="160"/>
      <c r="AF40" s="157">
        <f>+AD40*(1-AE40)+AH40</f>
        <v>0</v>
      </c>
      <c r="AG40" s="160"/>
      <c r="AH40" s="161"/>
      <c r="AI40" s="161"/>
      <c r="AK40" s="589" t="s">
        <v>107</v>
      </c>
      <c r="AL40" s="590"/>
      <c r="AM40" s="225">
        <f>+SUM(AM41:AM44)</f>
        <v>373670</v>
      </c>
      <c r="AN40" s="225">
        <f>+SUM(AN41:AN44)</f>
        <v>364334</v>
      </c>
      <c r="AO40" s="226">
        <f>+AN40-AM40</f>
        <v>-9336</v>
      </c>
      <c r="AP40" s="227">
        <f>+SUMPRODUCT(AN41:AN44,AP41:AP44)/AN40</f>
        <v>68.740042268907104</v>
      </c>
      <c r="AQ40" s="227">
        <f>+SUMPRODUCT(AN41:AN44,AQ41:AQ44)/AN40</f>
        <v>8.0017510306477018</v>
      </c>
    </row>
    <row r="41" spans="2:43" ht="15.75" customHeight="1" x14ac:dyDescent="0.2">
      <c r="B41" s="132"/>
      <c r="C41" s="141">
        <f>+AF19</f>
        <v>332236.17460000003</v>
      </c>
      <c r="E41" s="133"/>
      <c r="F41" s="145">
        <f>+AG16</f>
        <v>0.68834294588788836</v>
      </c>
      <c r="G41" s="133"/>
      <c r="H41" s="166">
        <f>+H42/H40</f>
        <v>0.68834294588788836</v>
      </c>
      <c r="J41" s="150">
        <f>+M41</f>
        <v>189564.75787871584</v>
      </c>
      <c r="K41" s="200">
        <f>+J41-M41</f>
        <v>0</v>
      </c>
      <c r="M41" s="150">
        <f>+M39*M40</f>
        <v>189564.75787871584</v>
      </c>
      <c r="P41" s="141">
        <f>+P49+R36+R43</f>
        <v>297435.47499999998</v>
      </c>
      <c r="U41" s="133"/>
      <c r="V41" s="133"/>
      <c r="W41" s="133"/>
      <c r="X41" s="133"/>
      <c r="Y41" s="137"/>
      <c r="AA41" s="154" t="s">
        <v>227</v>
      </c>
      <c r="AB41" s="155"/>
      <c r="AC41" s="156"/>
      <c r="AD41" s="157">
        <f>+AD22</f>
        <v>13681.125628140702</v>
      </c>
      <c r="AE41" s="228">
        <f>+AE22</f>
        <v>5.0000000000000001E-3</v>
      </c>
      <c r="AF41" s="157">
        <f>+AD41*(1-AE41)+AH41</f>
        <v>13612.72</v>
      </c>
      <c r="AG41" s="160">
        <f>+AG22</f>
        <v>0.65535413283291699</v>
      </c>
      <c r="AH41" s="161"/>
      <c r="AI41" s="161"/>
      <c r="AK41" s="587" t="s">
        <v>228</v>
      </c>
      <c r="AL41" s="588"/>
      <c r="AM41" s="229">
        <v>197740</v>
      </c>
      <c r="AN41" s="229">
        <v>192928</v>
      </c>
      <c r="AO41" s="230"/>
      <c r="AP41" s="227">
        <v>68.900000000000006</v>
      </c>
      <c r="AQ41" s="227">
        <v>7.95</v>
      </c>
    </row>
    <row r="42" spans="2:43" ht="15.75" customHeight="1" x14ac:dyDescent="0.2">
      <c r="B42" s="132"/>
      <c r="C42" s="145">
        <f>+AG19</f>
        <v>0.68740042268907109</v>
      </c>
      <c r="E42" s="133"/>
      <c r="F42" s="150">
        <f>+F40*F41</f>
        <v>126220.88808550446</v>
      </c>
      <c r="G42" s="133"/>
      <c r="H42" s="168">
        <f>+F42+G47</f>
        <v>126220.88808550446</v>
      </c>
      <c r="J42" s="133"/>
      <c r="P42" s="145">
        <f>+M41/P41</f>
        <v>0.63733069459423375</v>
      </c>
      <c r="U42" s="133"/>
      <c r="V42" s="133"/>
      <c r="W42" s="133"/>
      <c r="X42" s="133"/>
      <c r="Y42" s="137"/>
      <c r="AA42" s="154" t="s">
        <v>229</v>
      </c>
      <c r="AB42" s="155"/>
      <c r="AC42" s="156"/>
      <c r="AD42" s="161">
        <v>7587</v>
      </c>
      <c r="AE42" s="228">
        <v>5.0000000000000001E-3</v>
      </c>
      <c r="AF42" s="157">
        <f>+AD42*(1-AE42)+AH42</f>
        <v>7549.0649999999996</v>
      </c>
      <c r="AG42" s="160">
        <f>+AG41</f>
        <v>0.65535413283291699</v>
      </c>
      <c r="AH42" s="161"/>
      <c r="AI42" s="161"/>
      <c r="AK42" s="587" t="s">
        <v>230</v>
      </c>
      <c r="AL42" s="588"/>
      <c r="AM42" s="231">
        <v>175930</v>
      </c>
      <c r="AN42" s="231">
        <v>171406</v>
      </c>
      <c r="AO42" s="230"/>
      <c r="AP42" s="227">
        <v>68.56</v>
      </c>
      <c r="AQ42" s="227">
        <v>8.06</v>
      </c>
    </row>
    <row r="43" spans="2:43" ht="15.75" customHeight="1" x14ac:dyDescent="0.2">
      <c r="B43" s="132"/>
      <c r="C43" s="150">
        <f>+C41*C42</f>
        <v>228379.28685264004</v>
      </c>
      <c r="E43" s="232"/>
      <c r="F43" s="133"/>
      <c r="G43" s="133"/>
      <c r="J43" s="133"/>
      <c r="P43" s="150">
        <f>+R45+R38+P51</f>
        <v>194925.56779237176</v>
      </c>
      <c r="R43" s="165">
        <f>+AF41</f>
        <v>13612.72</v>
      </c>
      <c r="U43" s="133"/>
      <c r="V43" s="133"/>
      <c r="W43" s="133"/>
      <c r="X43" s="133"/>
      <c r="Y43" s="137"/>
      <c r="AA43" s="154" t="s">
        <v>231</v>
      </c>
      <c r="AB43" s="155"/>
      <c r="AC43" s="156"/>
      <c r="AD43" s="161"/>
      <c r="AE43" s="228"/>
      <c r="AF43" s="157"/>
      <c r="AG43" s="160"/>
      <c r="AH43" s="161"/>
      <c r="AI43" s="161"/>
      <c r="AK43" s="587" t="s">
        <v>232</v>
      </c>
      <c r="AL43" s="588"/>
      <c r="AM43" s="231"/>
      <c r="AN43" s="231"/>
      <c r="AO43" s="230"/>
      <c r="AP43" s="227"/>
      <c r="AQ43" s="227"/>
    </row>
    <row r="44" spans="2:43" ht="15.75" customHeight="1" x14ac:dyDescent="0.2">
      <c r="B44" s="132"/>
      <c r="E44" s="150"/>
      <c r="G44" s="133"/>
      <c r="J44" s="189"/>
      <c r="R44" s="166">
        <f>+AG22</f>
        <v>0.65535413283291699</v>
      </c>
      <c r="S44" s="131" t="s">
        <v>281</v>
      </c>
      <c r="U44" s="133"/>
      <c r="V44" s="133"/>
      <c r="W44" s="133"/>
      <c r="X44" s="133"/>
      <c r="Y44" s="137"/>
      <c r="AA44" s="154" t="s">
        <v>233</v>
      </c>
      <c r="AB44" s="155"/>
      <c r="AC44" s="156"/>
      <c r="AD44" s="161"/>
      <c r="AE44" s="160"/>
      <c r="AF44" s="159">
        <f>+AD44*(1-AE44)+AH44</f>
        <v>0</v>
      </c>
      <c r="AG44" s="160"/>
      <c r="AH44" s="161"/>
      <c r="AI44" s="161"/>
      <c r="AK44" s="587" t="s">
        <v>234</v>
      </c>
      <c r="AL44" s="588"/>
      <c r="AM44" s="231"/>
      <c r="AN44" s="231"/>
      <c r="AO44" s="230"/>
      <c r="AP44" s="227"/>
      <c r="AQ44" s="227"/>
    </row>
    <row r="45" spans="2:43" ht="15.75" customHeight="1" x14ac:dyDescent="0.2">
      <c r="B45" s="132"/>
      <c r="D45" s="133"/>
      <c r="E45" s="133"/>
      <c r="G45" s="165">
        <f>+AF17</f>
        <v>0</v>
      </c>
      <c r="I45" s="189"/>
      <c r="J45" s="233"/>
      <c r="M45" s="200">
        <f>+P41-R43-R36-P49</f>
        <v>0</v>
      </c>
      <c r="R45" s="168">
        <f>+R43*R44</f>
        <v>8921.1523110973048</v>
      </c>
      <c r="U45" s="133"/>
      <c r="V45" s="133"/>
      <c r="Y45" s="137"/>
      <c r="AA45" s="154" t="s">
        <v>235</v>
      </c>
      <c r="AB45" s="155"/>
      <c r="AC45" s="156"/>
      <c r="AD45" s="161"/>
      <c r="AE45" s="160"/>
      <c r="AF45" s="159">
        <f>+AD45*(1-AE45)+AH45</f>
        <v>0</v>
      </c>
      <c r="AG45" s="160"/>
      <c r="AH45" s="161"/>
      <c r="AI45" s="161"/>
      <c r="AK45" s="589" t="s">
        <v>109</v>
      </c>
      <c r="AL45" s="590"/>
      <c r="AM45" s="225">
        <f>+SUM(AM46:AM49)</f>
        <v>247166</v>
      </c>
      <c r="AN45" s="162">
        <f>+SUM(AN46:AN49)</f>
        <v>240611</v>
      </c>
      <c r="AO45" s="226">
        <f>+AN45-AM45</f>
        <v>-6555</v>
      </c>
      <c r="AP45" s="227">
        <f>+SUMPRODUCT(AN46:AN49,AP46:AP49)/AN45</f>
        <v>65.506562002568458</v>
      </c>
      <c r="AQ45" s="227">
        <f>+SUMPRODUCT(AN46:AN49,AQ46:AQ49)/AN45</f>
        <v>1.0609981671660897</v>
      </c>
    </row>
    <row r="46" spans="2:43" ht="15.75" customHeight="1" x14ac:dyDescent="0.2">
      <c r="B46" s="132"/>
      <c r="E46" s="133"/>
      <c r="G46" s="166">
        <f>+AG17</f>
        <v>0</v>
      </c>
      <c r="I46" s="185">
        <f>I25-F27-I33-J29</f>
        <v>1440</v>
      </c>
      <c r="M46" s="200">
        <f>+P43-R45-R38-P51</f>
        <v>0</v>
      </c>
      <c r="U46" s="133"/>
      <c r="V46" s="133"/>
      <c r="Y46" s="137"/>
      <c r="AK46" s="587" t="s">
        <v>228</v>
      </c>
      <c r="AL46" s="588"/>
      <c r="AM46" s="229">
        <v>209362</v>
      </c>
      <c r="AN46" s="231">
        <v>202807</v>
      </c>
      <c r="AO46" s="230"/>
      <c r="AP46" s="227">
        <v>65.45</v>
      </c>
      <c r="AQ46" s="227">
        <v>1.05</v>
      </c>
    </row>
    <row r="47" spans="2:43" ht="15.75" customHeight="1" x14ac:dyDescent="0.2">
      <c r="B47" s="132"/>
      <c r="E47" s="141">
        <f>+G45</f>
        <v>0</v>
      </c>
      <c r="G47" s="168">
        <f>+G45*G46</f>
        <v>0</v>
      </c>
      <c r="I47" s="198"/>
      <c r="J47" s="198"/>
      <c r="K47" s="189"/>
      <c r="U47" s="133"/>
      <c r="V47" s="133"/>
      <c r="Y47" s="137"/>
      <c r="Z47" s="133" t="s">
        <v>149</v>
      </c>
      <c r="AC47" s="596" t="s">
        <v>236</v>
      </c>
      <c r="AD47" s="596"/>
      <c r="AE47" s="596"/>
      <c r="AF47" s="596"/>
      <c r="AK47" s="587" t="s">
        <v>230</v>
      </c>
      <c r="AL47" s="588"/>
      <c r="AM47" s="231">
        <v>37804</v>
      </c>
      <c r="AN47" s="231">
        <v>37804</v>
      </c>
      <c r="AO47" s="234"/>
      <c r="AP47" s="227">
        <v>65.81</v>
      </c>
      <c r="AQ47" s="227">
        <v>1.1200000000000001</v>
      </c>
    </row>
    <row r="48" spans="2:43" ht="15.75" customHeight="1" x14ac:dyDescent="0.2">
      <c r="B48" s="132"/>
      <c r="C48" s="133"/>
      <c r="E48" s="145">
        <f>+G46</f>
        <v>0</v>
      </c>
      <c r="F48" s="133"/>
      <c r="G48" s="133"/>
      <c r="H48" s="133"/>
      <c r="I48" s="189"/>
      <c r="J48" s="198"/>
      <c r="U48" s="133"/>
      <c r="V48" s="133"/>
      <c r="W48" s="133"/>
      <c r="X48" s="133"/>
      <c r="Y48" s="137"/>
      <c r="AC48" s="144" t="s">
        <v>237</v>
      </c>
      <c r="AD48" s="144" t="s">
        <v>238</v>
      </c>
      <c r="AE48" s="144" t="s">
        <v>239</v>
      </c>
      <c r="AF48" s="144" t="s">
        <v>184</v>
      </c>
      <c r="AG48" s="144" t="s">
        <v>164</v>
      </c>
      <c r="AH48" s="144" t="s">
        <v>240</v>
      </c>
      <c r="AK48" s="587" t="s">
        <v>232</v>
      </c>
      <c r="AL48" s="588"/>
      <c r="AM48" s="231"/>
      <c r="AN48" s="231"/>
      <c r="AO48" s="234"/>
      <c r="AP48" s="227"/>
      <c r="AQ48" s="227"/>
    </row>
    <row r="49" spans="2:43" ht="15.75" customHeight="1" x14ac:dyDescent="0.2">
      <c r="B49" s="132"/>
      <c r="E49" s="150">
        <f>+E47*E48</f>
        <v>0</v>
      </c>
      <c r="F49" s="133"/>
      <c r="H49" s="133"/>
      <c r="I49" s="189"/>
      <c r="P49" s="235">
        <f>+AF26</f>
        <v>271326.55</v>
      </c>
      <c r="U49" s="133"/>
      <c r="V49" s="133"/>
      <c r="W49" s="133"/>
      <c r="X49" s="133"/>
      <c r="Y49" s="137"/>
      <c r="AA49" s="131" t="s">
        <v>241</v>
      </c>
      <c r="AC49" s="164">
        <v>36780</v>
      </c>
      <c r="AD49" s="164">
        <v>36848</v>
      </c>
      <c r="AE49" s="164">
        <f>+AD49-AC49</f>
        <v>68</v>
      </c>
      <c r="AF49" s="164">
        <f>+AE49*(1-AE31)</f>
        <v>68</v>
      </c>
      <c r="AG49" s="162"/>
      <c r="AH49" s="162"/>
      <c r="AK49" s="587" t="s">
        <v>234</v>
      </c>
      <c r="AL49" s="588"/>
      <c r="AM49" s="231"/>
      <c r="AN49" s="231"/>
      <c r="AO49" s="234"/>
      <c r="AP49" s="227"/>
      <c r="AQ49" s="227"/>
    </row>
    <row r="50" spans="2:43" ht="15.75" customHeight="1" x14ac:dyDescent="0.2">
      <c r="B50" s="132"/>
      <c r="E50" s="133"/>
      <c r="F50" s="133"/>
      <c r="G50" s="236"/>
      <c r="H50" s="133"/>
      <c r="P50" s="237">
        <f>+AG27</f>
        <v>0.65535413283291699</v>
      </c>
      <c r="U50" s="133"/>
      <c r="V50" s="133"/>
      <c r="W50" s="133"/>
      <c r="X50" s="133"/>
      <c r="Y50" s="137"/>
      <c r="AA50" s="131" t="s">
        <v>242</v>
      </c>
      <c r="AC50" s="164">
        <v>18126</v>
      </c>
      <c r="AD50" s="164">
        <v>21873</v>
      </c>
      <c r="AE50" s="164">
        <f>+AD50-AC50</f>
        <v>3747</v>
      </c>
      <c r="AF50" s="164">
        <f>+AE50*(1-AE35)</f>
        <v>3728.2649999999999</v>
      </c>
      <c r="AG50" s="238">
        <f>+AC50+AF41-AF42</f>
        <v>24189.655000000002</v>
      </c>
      <c r="AH50" s="239">
        <f>17644+2400-1290</f>
        <v>18754</v>
      </c>
      <c r="AK50" s="589" t="s">
        <v>93</v>
      </c>
      <c r="AL50" s="590"/>
      <c r="AM50" s="162">
        <f>+SUM(AM51:AM54)</f>
        <v>178682</v>
      </c>
      <c r="AN50" s="162">
        <f>+SUM(AN51:AN54)</f>
        <v>176000</v>
      </c>
      <c r="AO50" s="240">
        <f>+AN50-AM50</f>
        <v>-2682</v>
      </c>
      <c r="AP50" s="227">
        <f>+SUMPRODUCT(AN51:AN54,AP51:AP54)/AN50</f>
        <v>64.37</v>
      </c>
      <c r="AQ50" s="227">
        <f>+SUMPRODUCT(AN51:AN54,AQ51:AQ54)/AN50</f>
        <v>1.04</v>
      </c>
    </row>
    <row r="51" spans="2:43" ht="15.75" customHeight="1" x14ac:dyDescent="0.2">
      <c r="B51" s="132"/>
      <c r="F51" s="133"/>
      <c r="G51" s="220"/>
      <c r="H51" s="133"/>
      <c r="I51" s="133"/>
      <c r="J51" s="133"/>
      <c r="P51" s="168">
        <f>+P49*P50</f>
        <v>177814.97588979709</v>
      </c>
      <c r="R51" s="133"/>
      <c r="S51" s="133"/>
      <c r="T51" s="133"/>
      <c r="U51" s="133"/>
      <c r="V51" s="133"/>
      <c r="W51" s="133"/>
      <c r="X51" s="133"/>
      <c r="Y51" s="137"/>
      <c r="AK51" s="587" t="s">
        <v>228</v>
      </c>
      <c r="AL51" s="588"/>
      <c r="AM51" s="231">
        <v>178682</v>
      </c>
      <c r="AN51" s="231">
        <v>176000</v>
      </c>
      <c r="AO51" s="234"/>
      <c r="AP51" s="227">
        <v>64.37</v>
      </c>
      <c r="AQ51" s="227">
        <v>1.04</v>
      </c>
    </row>
    <row r="52" spans="2:43" ht="15.75" customHeight="1" x14ac:dyDescent="0.2">
      <c r="B52" s="132"/>
      <c r="C52" s="133"/>
      <c r="D52" s="133"/>
      <c r="E52" s="133"/>
      <c r="H52" s="133"/>
      <c r="I52" s="133"/>
      <c r="J52" s="133"/>
      <c r="M52" s="165">
        <f>+AF28</f>
        <v>238058.12169999999</v>
      </c>
      <c r="P52" s="168"/>
      <c r="R52" s="167">
        <f>+AF33</f>
        <v>0</v>
      </c>
      <c r="S52" s="167">
        <f>+AF38</f>
        <v>0</v>
      </c>
      <c r="T52" s="167">
        <f>+AF44</f>
        <v>0</v>
      </c>
      <c r="U52" s="198"/>
      <c r="V52" s="133"/>
      <c r="W52" s="133"/>
      <c r="X52" s="133"/>
      <c r="Y52" s="137"/>
      <c r="AD52" s="189"/>
      <c r="AK52" s="587" t="s">
        <v>230</v>
      </c>
      <c r="AL52" s="588"/>
      <c r="AM52" s="231"/>
      <c r="AN52" s="231"/>
      <c r="AO52" s="234"/>
      <c r="AP52" s="227"/>
      <c r="AQ52" s="227"/>
    </row>
    <row r="53" spans="2:43" ht="15.75" customHeight="1" x14ac:dyDescent="0.2">
      <c r="B53" s="132"/>
      <c r="C53" s="133"/>
      <c r="D53" s="133"/>
      <c r="E53" s="133"/>
      <c r="F53" s="232"/>
      <c r="H53" s="133"/>
      <c r="M53" s="166">
        <f>+AG28</f>
        <v>0.65506562002568458</v>
      </c>
      <c r="R53" s="133"/>
      <c r="S53" s="133"/>
      <c r="T53" s="133"/>
      <c r="U53" s="133"/>
      <c r="V53" s="133"/>
      <c r="W53" s="133"/>
      <c r="X53" s="133"/>
      <c r="Y53" s="137"/>
      <c r="AG53" s="199"/>
      <c r="AK53" s="587" t="s">
        <v>232</v>
      </c>
      <c r="AL53" s="588"/>
      <c r="AM53" s="231"/>
      <c r="AN53" s="231"/>
      <c r="AO53" s="234"/>
      <c r="AP53" s="227"/>
      <c r="AQ53" s="227"/>
    </row>
    <row r="54" spans="2:43" ht="15.75" customHeight="1" x14ac:dyDescent="0.2">
      <c r="B54" s="132"/>
      <c r="C54" s="133"/>
      <c r="D54" s="133"/>
      <c r="E54" s="133"/>
      <c r="F54" s="133"/>
      <c r="H54" s="133"/>
      <c r="M54" s="168">
        <f>+M52*M53</f>
        <v>155943.69109356037</v>
      </c>
      <c r="R54" s="133"/>
      <c r="S54" s="133"/>
      <c r="T54" s="133"/>
      <c r="U54" s="133"/>
      <c r="V54" s="133"/>
      <c r="W54" s="133"/>
      <c r="X54" s="133"/>
      <c r="Y54" s="137"/>
      <c r="AG54" s="199"/>
      <c r="AK54" s="587" t="s">
        <v>234</v>
      </c>
      <c r="AL54" s="588"/>
      <c r="AM54" s="231"/>
      <c r="AN54" s="231"/>
      <c r="AO54" s="240"/>
      <c r="AP54" s="227"/>
      <c r="AQ54" s="227"/>
    </row>
    <row r="55" spans="2:43" ht="15.75" customHeight="1" x14ac:dyDescent="0.2">
      <c r="B55" s="132"/>
      <c r="C55" s="133"/>
      <c r="D55" s="133"/>
      <c r="H55" s="133"/>
      <c r="R55" s="241"/>
      <c r="U55" s="133"/>
      <c r="V55" s="133"/>
      <c r="W55" s="133"/>
      <c r="X55" s="133"/>
      <c r="Y55" s="137"/>
      <c r="AK55" s="589" t="s">
        <v>243</v>
      </c>
      <c r="AL55" s="590"/>
      <c r="AM55" s="162">
        <f>+SUM(AM56:AM57)</f>
        <v>0</v>
      </c>
      <c r="AN55" s="162">
        <f>+SUM(AN56:AN57)</f>
        <v>0</v>
      </c>
      <c r="AO55" s="240">
        <f>+AN55-AM55</f>
        <v>0</v>
      </c>
      <c r="AP55" s="227" t="e">
        <f>+SUMPRODUCT(AN56:AN57,AP56:AP57)/AN55</f>
        <v>#DIV/0!</v>
      </c>
      <c r="AQ55" s="227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6"/>
      <c r="G56" s="133"/>
      <c r="H56" s="133"/>
      <c r="I56" s="133"/>
      <c r="J56" s="133"/>
      <c r="L56" s="145"/>
      <c r="M56" s="133"/>
      <c r="O56" s="142" t="s">
        <v>163</v>
      </c>
      <c r="P56" s="142" t="s">
        <v>164</v>
      </c>
      <c r="R56" s="145"/>
      <c r="T56" s="133"/>
      <c r="U56" s="133"/>
      <c r="V56" s="133"/>
      <c r="W56" s="133"/>
      <c r="X56" s="133"/>
      <c r="Y56" s="137"/>
      <c r="AK56" s="587" t="s">
        <v>228</v>
      </c>
      <c r="AL56" s="588"/>
      <c r="AM56" s="231"/>
      <c r="AN56" s="231"/>
      <c r="AO56" s="234"/>
      <c r="AP56" s="227"/>
      <c r="AQ56" s="227"/>
    </row>
    <row r="57" spans="2:43" ht="15.75" customHeight="1" x14ac:dyDescent="0.2">
      <c r="B57" s="132"/>
      <c r="C57" s="133"/>
      <c r="F57" s="168"/>
      <c r="G57" s="133"/>
      <c r="H57" s="133"/>
      <c r="J57" s="133"/>
      <c r="K57" s="133"/>
      <c r="L57" s="150"/>
      <c r="M57" s="133"/>
      <c r="N57" s="173" t="s">
        <v>40</v>
      </c>
      <c r="O57" s="146">
        <f>+'Datos Extra'!B40*(1-'Datos Extra'!D30)+P49-M52+R52+S52+T52</f>
        <v>233558.94329999996</v>
      </c>
      <c r="P57" s="146">
        <f>'Datos Extra'!C30</f>
        <v>232651.89499999999</v>
      </c>
      <c r="R57" s="150"/>
      <c r="S57" s="232"/>
      <c r="T57" s="133"/>
      <c r="U57" s="133"/>
      <c r="V57" s="133"/>
      <c r="W57" s="133"/>
      <c r="X57" s="133"/>
      <c r="Y57" s="137"/>
      <c r="AK57" s="587" t="s">
        <v>230</v>
      </c>
      <c r="AL57" s="588"/>
      <c r="AM57" s="231"/>
      <c r="AN57" s="231"/>
      <c r="AO57" s="234"/>
      <c r="AP57" s="227"/>
      <c r="AQ57" s="227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1">
        <f>+P57-O57</f>
        <v>-907.04829999996582</v>
      </c>
      <c r="Q58" s="133"/>
      <c r="R58" s="133"/>
      <c r="S58" s="150"/>
      <c r="T58" s="133"/>
      <c r="U58" s="133"/>
      <c r="V58" s="133"/>
      <c r="W58" s="133"/>
      <c r="X58" s="133"/>
      <c r="Y58" s="137"/>
      <c r="AM58" s="199">
        <f>AM55+AM50+AM45+AM40</f>
        <v>799518</v>
      </c>
      <c r="AN58" s="131">
        <f>AN55+AN50+AN45+AN40</f>
        <v>780945</v>
      </c>
      <c r="AO58" s="240">
        <f>+AN58-AM58</f>
        <v>-18573</v>
      </c>
      <c r="AP58" s="227"/>
      <c r="AQ58" s="227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42"/>
      <c r="C66" s="243"/>
      <c r="D66" s="243"/>
      <c r="E66" s="243"/>
      <c r="F66" s="243"/>
      <c r="G66" s="243"/>
      <c r="H66" s="243"/>
      <c r="I66" s="243"/>
      <c r="J66" s="243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4"/>
    </row>
    <row r="67" spans="2:26" ht="15.75" customHeight="1" x14ac:dyDescent="0.2">
      <c r="B67" s="245"/>
      <c r="C67" s="245"/>
      <c r="D67" s="245"/>
      <c r="J67" s="189"/>
      <c r="K67" s="133"/>
      <c r="P67" s="133"/>
      <c r="Q67" s="133"/>
    </row>
    <row r="68" spans="2:26" ht="15.75" customHeight="1" thickBot="1" x14ac:dyDescent="0.25">
      <c r="E68" s="246"/>
      <c r="F68" s="133"/>
      <c r="G68" s="591" t="s">
        <v>244</v>
      </c>
      <c r="H68" s="592"/>
      <c r="I68" s="593"/>
      <c r="J68" s="198"/>
      <c r="K68" s="133"/>
      <c r="L68" s="133"/>
      <c r="M68" s="198"/>
      <c r="N68" s="198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7" t="s">
        <v>245</v>
      </c>
      <c r="C69" s="594" t="s">
        <v>68</v>
      </c>
      <c r="D69" s="595"/>
      <c r="E69" s="248" t="s">
        <v>150</v>
      </c>
      <c r="F69" s="248" t="s">
        <v>151</v>
      </c>
      <c r="G69" s="248" t="s">
        <v>246</v>
      </c>
      <c r="H69" s="247" t="s">
        <v>247</v>
      </c>
      <c r="I69" s="249" t="s">
        <v>152</v>
      </c>
      <c r="J69" s="250" t="s">
        <v>153</v>
      </c>
      <c r="K69" s="251" t="s">
        <v>154</v>
      </c>
      <c r="L69" s="248" t="s">
        <v>155</v>
      </c>
      <c r="M69" s="248" t="s">
        <v>248</v>
      </c>
      <c r="N69" s="248" t="s">
        <v>249</v>
      </c>
      <c r="O69" s="247" t="s">
        <v>156</v>
      </c>
      <c r="P69" s="252" t="s">
        <v>157</v>
      </c>
      <c r="Q69" s="133"/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53">
        <f>+AD26</f>
        <v>272690</v>
      </c>
      <c r="C70" s="586" t="s">
        <v>158</v>
      </c>
      <c r="D70" s="502"/>
      <c r="E70" s="254">
        <f>+AI26</f>
        <v>272690</v>
      </c>
      <c r="F70" s="255">
        <f>+AI28</f>
        <v>240611</v>
      </c>
      <c r="G70" s="256"/>
      <c r="H70" s="257"/>
      <c r="I70" s="258">
        <f>+E70+G70</f>
        <v>272690</v>
      </c>
      <c r="J70" s="259">
        <f>+F70+H70</f>
        <v>240611</v>
      </c>
      <c r="K70" s="260">
        <f>'Datos Extra'!B44</f>
        <v>200437</v>
      </c>
      <c r="L70" s="261">
        <f>+K70+I70-J70</f>
        <v>232516</v>
      </c>
      <c r="M70" s="256">
        <f>+'Datos Extra'!C30/(1-'Datos Extra'!D30)+G70-H70</f>
        <v>233821</v>
      </c>
      <c r="N70" s="262">
        <f t="shared" ref="N70:N80" si="3">M70-L70</f>
        <v>1305</v>
      </c>
      <c r="O70" s="263">
        <v>97.84</v>
      </c>
      <c r="P70" s="264">
        <f>+N70*O70</f>
        <v>127681.20000000001</v>
      </c>
      <c r="Q70" s="265"/>
      <c r="R70" s="133"/>
      <c r="S70" s="266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53">
        <f>+AD25</f>
        <v>12559</v>
      </c>
      <c r="C71" s="586" t="s">
        <v>88</v>
      </c>
      <c r="D71" s="502"/>
      <c r="E71" s="267">
        <f>+AI25</f>
        <v>12559</v>
      </c>
      <c r="F71" s="255">
        <v>0</v>
      </c>
      <c r="G71" s="268"/>
      <c r="H71" s="269"/>
      <c r="I71" s="258">
        <f t="shared" ref="I71:J80" si="4">+E71+G71</f>
        <v>12559</v>
      </c>
      <c r="J71" s="270">
        <f t="shared" si="4"/>
        <v>0</v>
      </c>
      <c r="K71" s="260">
        <f>'Datos Extra'!B45</f>
        <v>88708</v>
      </c>
      <c r="L71" s="261">
        <f>+K71+I71-J71</f>
        <v>101267</v>
      </c>
      <c r="M71" s="256">
        <f>+'Datos Extra'!C31/(1-'Datos Extra'!D31)</f>
        <v>99746</v>
      </c>
      <c r="N71" s="262">
        <f t="shared" si="3"/>
        <v>-1521</v>
      </c>
      <c r="O71" s="263">
        <v>33.365380000000002</v>
      </c>
      <c r="P71" s="264">
        <f t="shared" ref="P71:P80" si="5">+N71*O71</f>
        <v>-50748.742980000003</v>
      </c>
      <c r="Q71" s="265"/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53">
        <f>+AD16+AD17</f>
        <v>201173</v>
      </c>
      <c r="C72" s="586" t="s">
        <v>89</v>
      </c>
      <c r="D72" s="502"/>
      <c r="E72" s="267">
        <f>+AI16+AI17</f>
        <v>201173</v>
      </c>
      <c r="F72" s="255">
        <f>+AI19</f>
        <v>364334</v>
      </c>
      <c r="G72" s="268"/>
      <c r="H72" s="269"/>
      <c r="I72" s="258">
        <f>+E72+G72</f>
        <v>201173</v>
      </c>
      <c r="J72" s="271">
        <f>+F72+H72</f>
        <v>364334</v>
      </c>
      <c r="K72" s="260">
        <f>'Datos Extra'!B46</f>
        <v>382282</v>
      </c>
      <c r="L72" s="261">
        <f>+K72+I72-J72</f>
        <v>219121</v>
      </c>
      <c r="M72" s="256">
        <f>'Datos Extra'!C28/(1-'Datos Extra'!D28)+G72-H72</f>
        <v>218541.48310889813</v>
      </c>
      <c r="N72" s="262">
        <f t="shared" si="3"/>
        <v>-579.51689110186999</v>
      </c>
      <c r="O72" s="263">
        <v>43.87</v>
      </c>
      <c r="P72" s="264">
        <f t="shared" si="5"/>
        <v>-25423.406012639036</v>
      </c>
      <c r="Q72" s="272"/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53">
        <f>+AD10</f>
        <v>562148</v>
      </c>
      <c r="C73" s="586" t="s">
        <v>159</v>
      </c>
      <c r="D73" s="502"/>
      <c r="E73" s="267">
        <f>+AI10</f>
        <v>562148</v>
      </c>
      <c r="F73" s="255">
        <v>0</v>
      </c>
      <c r="G73" s="268"/>
      <c r="H73" s="273"/>
      <c r="I73" s="274"/>
      <c r="J73" s="275">
        <f>+E73+H73</f>
        <v>562148</v>
      </c>
      <c r="K73" s="260">
        <f>'Datos Extra'!B47</f>
        <v>0</v>
      </c>
      <c r="L73" s="261"/>
      <c r="M73" s="276"/>
      <c r="N73" s="277"/>
      <c r="O73" s="278"/>
      <c r="P73" s="279"/>
      <c r="Q73" s="265"/>
      <c r="R73" s="133"/>
      <c r="S73" s="266">
        <f>+M70-S70</f>
        <v>194932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53"/>
      <c r="C74" s="586" t="s">
        <v>90</v>
      </c>
      <c r="D74" s="502"/>
      <c r="E74" s="267">
        <f>+AI15</f>
        <v>517519.11949278059</v>
      </c>
      <c r="F74" s="255"/>
      <c r="G74" s="268"/>
      <c r="I74" s="274"/>
      <c r="J74" s="275">
        <f>+E74/E73*J73</f>
        <v>517519.11949278059</v>
      </c>
      <c r="K74" s="260">
        <f>'Datos Extra'!B48</f>
        <v>0</v>
      </c>
      <c r="L74" s="261"/>
      <c r="M74" s="276"/>
      <c r="N74" s="277"/>
      <c r="O74" s="278"/>
      <c r="P74" s="279"/>
      <c r="Q74" s="265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53"/>
      <c r="C75" s="586" t="s">
        <v>91</v>
      </c>
      <c r="D75" s="502"/>
      <c r="E75" s="267">
        <f>+AI13</f>
        <v>80959.563825055302</v>
      </c>
      <c r="F75" s="255"/>
      <c r="G75" s="268"/>
      <c r="H75" s="269"/>
      <c r="I75" s="274"/>
      <c r="J75" s="275">
        <f>+E75+G75</f>
        <v>80959.563825055302</v>
      </c>
      <c r="K75" s="260">
        <v>0</v>
      </c>
      <c r="L75" s="261"/>
      <c r="M75" s="276"/>
      <c r="N75" s="277"/>
      <c r="O75" s="278"/>
      <c r="P75" s="279"/>
      <c r="Q75" s="265"/>
      <c r="R75" s="133"/>
      <c r="S75" s="133"/>
      <c r="T75" s="198"/>
      <c r="U75" s="177"/>
      <c r="V75" s="177"/>
      <c r="W75" s="198"/>
      <c r="X75" s="198"/>
      <c r="Y75" s="280"/>
      <c r="Z75" s="185"/>
    </row>
    <row r="76" spans="2:26" ht="14.25" customHeight="1" x14ac:dyDescent="0.2">
      <c r="B76" s="253">
        <f>+AD9</f>
        <v>558159</v>
      </c>
      <c r="C76" s="586" t="s">
        <v>92</v>
      </c>
      <c r="D76" s="502"/>
      <c r="E76" s="267">
        <f>+AI9</f>
        <v>558159</v>
      </c>
      <c r="F76" s="255"/>
      <c r="G76" s="268"/>
      <c r="H76" s="273">
        <f>H73</f>
        <v>0</v>
      </c>
      <c r="I76" s="258">
        <f t="shared" si="4"/>
        <v>558159</v>
      </c>
      <c r="J76" s="259">
        <f>+E73+H76</f>
        <v>562148</v>
      </c>
      <c r="K76" s="260">
        <f>'Datos Extra'!B50</f>
        <v>8766</v>
      </c>
      <c r="L76" s="261">
        <f>+K76+I76-J76</f>
        <v>4777</v>
      </c>
      <c r="M76" s="256">
        <f>+'Datos Extra'!C24/(1-'Datos Extra'!D24)</f>
        <v>9561.2951012849808</v>
      </c>
      <c r="N76" s="262">
        <f t="shared" si="3"/>
        <v>4784.2951012849808</v>
      </c>
      <c r="O76" s="263">
        <v>20.14</v>
      </c>
      <c r="P76" s="264">
        <f t="shared" si="5"/>
        <v>96355.703339879517</v>
      </c>
      <c r="Q76" s="265"/>
      <c r="R76" s="266"/>
      <c r="S76" s="133"/>
      <c r="T76" s="177"/>
      <c r="U76" s="177"/>
      <c r="V76" s="177"/>
      <c r="W76" s="198"/>
      <c r="X76" s="198"/>
      <c r="Y76" s="280"/>
      <c r="Z76" s="185"/>
    </row>
    <row r="77" spans="2:26" ht="14.25" customHeight="1" x14ac:dyDescent="0.2">
      <c r="B77" s="253">
        <f>+AD7</f>
        <v>239033</v>
      </c>
      <c r="C77" s="586" t="s">
        <v>93</v>
      </c>
      <c r="D77" s="502"/>
      <c r="E77" s="267">
        <f>+AI7</f>
        <v>239033</v>
      </c>
      <c r="F77" s="255">
        <f>+AI8</f>
        <v>176000</v>
      </c>
      <c r="G77" s="268"/>
      <c r="H77" s="269"/>
      <c r="I77" s="258">
        <f t="shared" si="4"/>
        <v>239033</v>
      </c>
      <c r="J77" s="259">
        <f t="shared" si="4"/>
        <v>176000</v>
      </c>
      <c r="K77" s="260">
        <f>'Datos Extra'!B51</f>
        <v>146083</v>
      </c>
      <c r="L77" s="261">
        <f>+K77+I77-J77+AD34</f>
        <v>209116</v>
      </c>
      <c r="M77" s="256">
        <f>+'Datos Extra'!C25/(1-'Datos Extra'!D25)</f>
        <v>206592.68611022946</v>
      </c>
      <c r="N77" s="262">
        <f t="shared" si="3"/>
        <v>-2523.3138897705358</v>
      </c>
      <c r="O77" s="263">
        <v>21.37</v>
      </c>
      <c r="P77" s="264">
        <f t="shared" si="5"/>
        <v>-53923.21782439635</v>
      </c>
      <c r="Q77" s="265"/>
      <c r="R77" s="266"/>
      <c r="S77" s="133"/>
      <c r="T77" s="177"/>
      <c r="U77" s="133"/>
      <c r="V77" s="133"/>
      <c r="W77" s="133"/>
      <c r="X77" s="133"/>
      <c r="Y77" s="133"/>
      <c r="Z77" s="177"/>
    </row>
    <row r="78" spans="2:26" ht="14.25" customHeight="1" x14ac:dyDescent="0.2">
      <c r="B78" s="253"/>
      <c r="C78" s="586" t="s">
        <v>94</v>
      </c>
      <c r="D78" s="502"/>
      <c r="E78" s="267">
        <v>0</v>
      </c>
      <c r="F78" s="255">
        <v>0</v>
      </c>
      <c r="G78" s="268"/>
      <c r="H78" s="269"/>
      <c r="I78" s="281">
        <f t="shared" si="4"/>
        <v>0</v>
      </c>
      <c r="J78" s="270">
        <f t="shared" si="4"/>
        <v>0</v>
      </c>
      <c r="K78" s="260">
        <f>'Datos Extra'!B52</f>
        <v>0</v>
      </c>
      <c r="L78" s="268">
        <f>+K78+AD32-AD34</f>
        <v>0</v>
      </c>
      <c r="M78" s="256">
        <v>0</v>
      </c>
      <c r="N78" s="262">
        <f t="shared" si="3"/>
        <v>0</v>
      </c>
      <c r="O78" s="263">
        <v>8.5485399999999991</v>
      </c>
      <c r="P78" s="264">
        <f t="shared" si="5"/>
        <v>0</v>
      </c>
      <c r="Q78" s="265"/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53"/>
      <c r="C79" s="586" t="s">
        <v>95</v>
      </c>
      <c r="D79" s="502"/>
      <c r="E79" s="267">
        <v>0</v>
      </c>
      <c r="F79" s="267">
        <v>0</v>
      </c>
      <c r="G79" s="268"/>
      <c r="H79" s="269"/>
      <c r="I79" s="281">
        <f t="shared" si="4"/>
        <v>0</v>
      </c>
      <c r="J79" s="270">
        <f t="shared" si="4"/>
        <v>0</v>
      </c>
      <c r="K79" s="260">
        <f>'Datos Extra'!B53</f>
        <v>27</v>
      </c>
      <c r="L79" s="282">
        <f>+K79+E79-F79</f>
        <v>27</v>
      </c>
      <c r="M79" s="283">
        <v>1415.5</v>
      </c>
      <c r="N79" s="262">
        <f t="shared" si="3"/>
        <v>1388.5</v>
      </c>
      <c r="O79" s="263">
        <v>40.32</v>
      </c>
      <c r="P79" s="264">
        <f t="shared" si="5"/>
        <v>55984.32</v>
      </c>
      <c r="Q79" s="265"/>
      <c r="R79" s="133"/>
      <c r="S79" s="133"/>
      <c r="T79" s="280"/>
      <c r="U79" s="266"/>
      <c r="V79" s="266"/>
      <c r="W79" s="280"/>
      <c r="X79" s="280"/>
      <c r="Y79" s="280"/>
    </row>
    <row r="80" spans="2:26" ht="14.25" customHeight="1" x14ac:dyDescent="0.2">
      <c r="B80" s="253"/>
      <c r="C80" s="586" t="s">
        <v>96</v>
      </c>
      <c r="D80" s="502"/>
      <c r="E80" s="267">
        <v>0</v>
      </c>
      <c r="F80" s="267">
        <v>0</v>
      </c>
      <c r="G80" s="268"/>
      <c r="H80" s="269"/>
      <c r="I80" s="281">
        <f t="shared" si="4"/>
        <v>0</v>
      </c>
      <c r="J80" s="270">
        <f t="shared" si="4"/>
        <v>0</v>
      </c>
      <c r="K80" s="260">
        <f>'Datos Extra'!B54</f>
        <v>25122</v>
      </c>
      <c r="L80" s="282">
        <f>+K80+E80-F80</f>
        <v>25122</v>
      </c>
      <c r="M80" s="283">
        <v>31676</v>
      </c>
      <c r="N80" s="262">
        <f t="shared" si="3"/>
        <v>6554</v>
      </c>
      <c r="O80" s="263">
        <v>29.61</v>
      </c>
      <c r="P80" s="264">
        <f t="shared" si="5"/>
        <v>194063.94</v>
      </c>
      <c r="Q80" s="265"/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84"/>
      <c r="D81" s="284"/>
      <c r="E81" s="262">
        <f>+E70+E71+E72+E77+E78</f>
        <v>725455</v>
      </c>
      <c r="F81" s="262">
        <f>+F70+F71+F72+F77+F78</f>
        <v>780945</v>
      </c>
      <c r="G81" s="198"/>
      <c r="H81" s="198"/>
      <c r="I81" s="285">
        <f>+I70+I71+I72+I77+I78</f>
        <v>725455</v>
      </c>
      <c r="J81" s="286">
        <f>+J70+J71+J72+J77+J78</f>
        <v>780945</v>
      </c>
      <c r="K81" s="287"/>
      <c r="L81" s="287"/>
      <c r="M81" s="287"/>
      <c r="N81" s="262">
        <f>SUM(N70:N80)</f>
        <v>9407.964320412575</v>
      </c>
      <c r="O81" s="288"/>
      <c r="P81" s="289">
        <f>SUM(P70:P80)</f>
        <v>343989.79652284412</v>
      </c>
      <c r="Q81" s="133"/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87"/>
      <c r="D82" s="287"/>
      <c r="E82" s="198"/>
      <c r="F82" s="198"/>
      <c r="G82" s="198"/>
      <c r="H82" s="198"/>
      <c r="I82" s="198"/>
      <c r="J82" s="290">
        <f>+J81-J72</f>
        <v>416611</v>
      </c>
      <c r="N82" s="262">
        <f>SUM(N70:N80)-N76</f>
        <v>4623.6692191275943</v>
      </c>
      <c r="O82" s="288"/>
      <c r="P82" s="289">
        <f>SUM(P70:P80)-P76</f>
        <v>247634.0931829646</v>
      </c>
      <c r="Q82" s="133"/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46"/>
      <c r="G83" s="134"/>
      <c r="H83" s="134"/>
      <c r="I83" s="133"/>
      <c r="J83" s="198"/>
      <c r="K83" s="266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583"/>
      <c r="D84" s="585"/>
      <c r="E84" s="291" t="s">
        <v>250</v>
      </c>
      <c r="F84" s="291" t="s">
        <v>186</v>
      </c>
      <c r="G84" s="291" t="s">
        <v>251</v>
      </c>
      <c r="H84" s="292" t="s">
        <v>252</v>
      </c>
      <c r="I84" s="198"/>
      <c r="J84" s="198"/>
      <c r="K84" s="198"/>
      <c r="L84" s="198"/>
      <c r="M84" s="198"/>
      <c r="N84" s="198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583" t="s">
        <v>253</v>
      </c>
      <c r="D85" s="584"/>
      <c r="E85" s="584"/>
      <c r="F85" s="584"/>
      <c r="G85" s="584"/>
      <c r="H85" s="585"/>
      <c r="I85" s="198"/>
      <c r="J85" s="198">
        <f>+J74*(1-AE14)</f>
        <v>459690.70876089443</v>
      </c>
      <c r="K85" s="198"/>
      <c r="L85" s="198"/>
      <c r="M85" s="198"/>
      <c r="N85" s="198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580" t="s">
        <v>254</v>
      </c>
      <c r="D86" s="581"/>
      <c r="E86" s="163">
        <f>'Datos Extra'!B56</f>
        <v>841140</v>
      </c>
      <c r="F86" s="348">
        <f>'Datos Extra'!C56</f>
        <v>1</v>
      </c>
      <c r="G86" s="349">
        <f>'Datos Extra'!D56</f>
        <v>1.7937498607364257</v>
      </c>
      <c r="H86" s="295">
        <f>+E86*G86</f>
        <v>1508794.757859837</v>
      </c>
      <c r="I86" s="266"/>
      <c r="J86" s="266"/>
      <c r="K86" s="266"/>
      <c r="L86" s="266"/>
      <c r="M86" s="266"/>
      <c r="N86" s="266"/>
      <c r="O86" s="133"/>
      <c r="P86" s="133"/>
      <c r="Q86" s="133"/>
      <c r="R86" s="582"/>
      <c r="S86" s="520"/>
      <c r="T86" s="198"/>
      <c r="U86" s="198"/>
      <c r="V86" s="198"/>
    </row>
    <row r="87" spans="3:26" ht="14.25" customHeight="1" x14ac:dyDescent="0.2">
      <c r="C87" s="293" t="s">
        <v>255</v>
      </c>
      <c r="D87" s="294"/>
      <c r="E87" s="163">
        <f>'Datos Extra'!B57</f>
        <v>799464</v>
      </c>
      <c r="F87" s="348">
        <f>'Datos Extra'!C57</f>
        <v>0.85</v>
      </c>
      <c r="G87" s="349">
        <f>'Datos Extra'!D57</f>
        <v>0.93275003802393297</v>
      </c>
      <c r="H87" s="295">
        <f t="shared" ref="H87:H90" si="6">+E87*G87</f>
        <v>745700.07639876555</v>
      </c>
      <c r="I87" s="266"/>
      <c r="J87" s="266"/>
      <c r="K87" s="266"/>
      <c r="L87" s="296"/>
      <c r="M87" s="266"/>
      <c r="N87" s="266"/>
      <c r="O87" s="133"/>
      <c r="P87" s="133"/>
      <c r="Q87" s="133"/>
      <c r="R87" s="287"/>
      <c r="T87" s="198"/>
      <c r="U87" s="198"/>
      <c r="V87" s="198"/>
    </row>
    <row r="88" spans="3:26" ht="15.75" customHeight="1" x14ac:dyDescent="0.2">
      <c r="C88" s="580" t="s">
        <v>256</v>
      </c>
      <c r="D88" s="581"/>
      <c r="E88" s="163">
        <f>'Datos Extra'!B58</f>
        <v>309440</v>
      </c>
      <c r="F88" s="348">
        <f>'Datos Extra'!C58</f>
        <v>0.15</v>
      </c>
      <c r="G88" s="349">
        <f>'Datos Extra'!D58</f>
        <v>1.1554858656662388</v>
      </c>
      <c r="H88" s="295">
        <f t="shared" si="6"/>
        <v>357553.54627176095</v>
      </c>
      <c r="I88" s="266"/>
      <c r="J88" s="266"/>
      <c r="K88" s="266"/>
      <c r="L88" s="266" t="s">
        <v>273</v>
      </c>
      <c r="M88" s="266"/>
      <c r="N88" s="266"/>
      <c r="O88" s="133"/>
      <c r="P88" s="582"/>
      <c r="Q88" s="520"/>
      <c r="R88" s="198"/>
      <c r="S88" s="198"/>
      <c r="T88" s="198"/>
    </row>
    <row r="89" spans="3:26" ht="15.75" customHeight="1" x14ac:dyDescent="0.2">
      <c r="C89" s="580" t="s">
        <v>257</v>
      </c>
      <c r="D89" s="581"/>
      <c r="E89" s="163">
        <f>'Datos Extra'!B59</f>
        <v>719345</v>
      </c>
      <c r="F89" s="348">
        <f>'Datos Extra'!C59</f>
        <v>1</v>
      </c>
      <c r="G89" s="349">
        <f>'Datos Extra'!D59</f>
        <v>6.7708475606506466</v>
      </c>
      <c r="H89" s="295">
        <f t="shared" si="6"/>
        <v>4870575.3385162391</v>
      </c>
      <c r="I89" s="133"/>
      <c r="J89" s="133"/>
      <c r="K89" s="133"/>
      <c r="L89" s="133" t="s">
        <v>274</v>
      </c>
      <c r="M89" s="133"/>
      <c r="N89" s="198"/>
      <c r="O89" s="133"/>
      <c r="P89" s="582"/>
      <c r="Q89" s="520"/>
      <c r="R89" s="198"/>
      <c r="S89" s="198"/>
      <c r="T89" s="198"/>
    </row>
    <row r="90" spans="3:26" ht="14.25" customHeight="1" x14ac:dyDescent="0.2">
      <c r="C90" s="580" t="s">
        <v>258</v>
      </c>
      <c r="D90" s="581"/>
      <c r="E90" s="163">
        <f>'Datos Extra'!B60</f>
        <v>0</v>
      </c>
      <c r="F90" s="348">
        <f>'Datos Extra'!C60</f>
        <v>0</v>
      </c>
      <c r="G90" s="349">
        <f>'Datos Extra'!D60</f>
        <v>12.73464883638535</v>
      </c>
      <c r="H90" s="295">
        <f t="shared" si="6"/>
        <v>0</v>
      </c>
      <c r="I90" s="133"/>
      <c r="J90" s="133"/>
      <c r="K90" s="133"/>
      <c r="L90" s="133" t="s">
        <v>275</v>
      </c>
      <c r="M90" s="133"/>
      <c r="N90" s="198"/>
      <c r="O90" s="133"/>
      <c r="P90" s="582"/>
      <c r="Q90" s="520"/>
      <c r="R90" s="198"/>
      <c r="S90" s="198"/>
      <c r="T90" s="198"/>
    </row>
    <row r="91" spans="3:26" ht="14.25" customHeight="1" x14ac:dyDescent="0.2">
      <c r="G91" s="297">
        <f>SUM(G86:G90)</f>
        <v>23.387482161462593</v>
      </c>
      <c r="H91" s="136">
        <f>SUM(H86:H90)</f>
        <v>7482623.719046602</v>
      </c>
      <c r="I91" s="266"/>
      <c r="J91" s="266"/>
      <c r="K91" s="133"/>
      <c r="L91" s="133"/>
      <c r="M91" s="133"/>
      <c r="N91" s="198"/>
      <c r="O91" s="133"/>
      <c r="P91" s="582"/>
      <c r="Q91" s="520"/>
      <c r="R91" s="198"/>
      <c r="S91" s="198"/>
      <c r="T91" s="198"/>
    </row>
    <row r="92" spans="3:26" ht="14.25" customHeight="1" x14ac:dyDescent="0.2">
      <c r="C92" s="583" t="s">
        <v>259</v>
      </c>
      <c r="D92" s="584"/>
      <c r="E92" s="584"/>
      <c r="F92" s="584"/>
      <c r="G92" s="584"/>
      <c r="H92" s="585"/>
      <c r="I92" s="266"/>
      <c r="J92" s="266"/>
      <c r="K92" s="133"/>
      <c r="L92" s="198"/>
      <c r="M92" s="133"/>
      <c r="N92" s="198"/>
      <c r="O92" s="133"/>
      <c r="P92" s="582"/>
      <c r="Q92" s="520"/>
      <c r="R92" s="198"/>
      <c r="S92" s="198"/>
      <c r="T92" s="198"/>
    </row>
    <row r="93" spans="3:26" ht="14.25" customHeight="1" x14ac:dyDescent="0.2">
      <c r="C93" s="580" t="s">
        <v>260</v>
      </c>
      <c r="D93" s="581"/>
      <c r="E93" s="164">
        <f>+AF10/(1-AE10)</f>
        <v>562148</v>
      </c>
      <c r="F93" s="298">
        <f>+O19</f>
        <v>0.86635997358641803</v>
      </c>
      <c r="G93" s="299">
        <f>'Datos Extra'!D61</f>
        <v>20.331616421326252</v>
      </c>
      <c r="H93" s="295">
        <f>+E93*G93</f>
        <v>11429377.508015711</v>
      </c>
      <c r="I93" s="133"/>
      <c r="J93" s="133"/>
      <c r="K93" s="133"/>
      <c r="L93" s="198"/>
      <c r="M93" s="133"/>
      <c r="N93" s="133"/>
      <c r="O93" s="133"/>
      <c r="P93" s="582"/>
      <c r="Q93" s="520"/>
      <c r="R93" s="198"/>
      <c r="S93" s="198"/>
    </row>
    <row r="94" spans="3:26" ht="14.25" customHeight="1" x14ac:dyDescent="0.2">
      <c r="C94" s="580" t="s">
        <v>261</v>
      </c>
      <c r="D94" s="581"/>
      <c r="E94" s="164">
        <f>+AF18/(1-AE18)</f>
        <v>274867.73500000004</v>
      </c>
      <c r="F94" s="300">
        <f>+P49/J39</f>
        <v>0.9871167672699015</v>
      </c>
      <c r="G94" s="299">
        <f>'Datos Extra'!D62</f>
        <v>8.225477491060424</v>
      </c>
      <c r="H94" s="295">
        <f t="shared" ref="H94:H96" si="7">+E94*G94</f>
        <v>2260918.3672612617</v>
      </c>
      <c r="I94" s="133"/>
      <c r="J94" s="133"/>
      <c r="K94" s="133"/>
      <c r="L94" s="133"/>
      <c r="M94" s="133"/>
      <c r="N94" s="133"/>
      <c r="O94" s="133"/>
      <c r="P94" s="582"/>
      <c r="Q94" s="520"/>
      <c r="R94" s="198"/>
      <c r="S94" s="198"/>
    </row>
    <row r="95" spans="3:26" ht="14.25" customHeight="1" x14ac:dyDescent="0.2">
      <c r="C95" s="580" t="s">
        <v>262</v>
      </c>
      <c r="D95" s="581"/>
      <c r="E95" s="164">
        <f>+AF26/(1-AE26)+AF25/(1-AE25)+AF17/(1-AE17)+AF16/(1-AE16)</f>
        <v>486422</v>
      </c>
      <c r="F95" s="298">
        <f>+P19</f>
        <v>0.83919856032918472</v>
      </c>
      <c r="G95" s="299">
        <f>'Datos Extra'!D63</f>
        <v>2.7579753151123789</v>
      </c>
      <c r="H95" s="295">
        <f t="shared" si="7"/>
        <v>1341539.8687275937</v>
      </c>
      <c r="I95" s="133"/>
      <c r="J95" s="133"/>
      <c r="K95" s="133"/>
      <c r="L95" s="133"/>
      <c r="M95" s="133"/>
      <c r="N95" s="133"/>
      <c r="O95" s="133"/>
      <c r="P95" s="582"/>
      <c r="Q95" s="520"/>
      <c r="R95" s="198"/>
      <c r="S95" s="198"/>
    </row>
    <row r="96" spans="3:26" ht="14.25" customHeight="1" x14ac:dyDescent="0.2">
      <c r="C96" s="580" t="s">
        <v>263</v>
      </c>
      <c r="D96" s="581"/>
      <c r="E96" s="164">
        <f>+E95</f>
        <v>486422</v>
      </c>
      <c r="F96" s="301">
        <v>1</v>
      </c>
      <c r="G96" s="299">
        <f>'Datos Extra'!D64</f>
        <v>2.7579753151123789</v>
      </c>
      <c r="H96" s="295">
        <f t="shared" si="7"/>
        <v>1341539.8687275937</v>
      </c>
      <c r="I96" s="133"/>
      <c r="J96" s="133"/>
      <c r="K96" s="133"/>
      <c r="L96" s="133"/>
      <c r="M96" s="133"/>
      <c r="N96" s="133"/>
      <c r="O96" s="133"/>
      <c r="P96" s="582"/>
      <c r="Q96" s="520"/>
      <c r="R96" s="198"/>
      <c r="S96" s="198"/>
    </row>
    <row r="97" spans="5:18" ht="14.25" customHeight="1" x14ac:dyDescent="0.2">
      <c r="E97" s="133"/>
      <c r="F97" s="246"/>
      <c r="G97" s="297">
        <f>SUM(G93:G96)</f>
        <v>34.073044542611434</v>
      </c>
      <c r="H97" s="136">
        <f>SUM(H93:H96)</f>
        <v>16373375.612732161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8"/>
    </row>
    <row r="98" spans="5:18" ht="14.25" customHeight="1" x14ac:dyDescent="0.2">
      <c r="E98" s="133"/>
      <c r="F98" s="246"/>
      <c r="G98" s="184" t="s">
        <v>264</v>
      </c>
      <c r="H98" s="136">
        <f>+H91+H97</f>
        <v>23855999.331778765</v>
      </c>
      <c r="J98" s="133"/>
      <c r="K98" s="133"/>
      <c r="L98" s="133"/>
      <c r="M98" s="133"/>
      <c r="N98" s="133"/>
      <c r="O98" s="133"/>
      <c r="P98" s="133"/>
      <c r="Q98" s="133"/>
      <c r="R98" s="198"/>
    </row>
    <row r="99" spans="5:18" ht="14.25" customHeight="1" x14ac:dyDescent="0.2">
      <c r="E99" s="133"/>
      <c r="F99" s="246"/>
      <c r="G99" s="302" t="s">
        <v>265</v>
      </c>
      <c r="H99" s="303">
        <f>+H98/E96</f>
        <v>49.043832992296331</v>
      </c>
      <c r="I99" s="304"/>
      <c r="J99" s="133"/>
      <c r="K99" s="133"/>
      <c r="L99" s="133"/>
      <c r="M99" s="133"/>
      <c r="N99" s="133"/>
      <c r="O99" s="133"/>
      <c r="P99" s="133"/>
      <c r="Q99" s="133"/>
      <c r="R99" s="198"/>
    </row>
    <row r="100" spans="5:18" ht="14.25" customHeight="1" x14ac:dyDescent="0.2">
      <c r="E100" s="133"/>
      <c r="F100" s="246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8"/>
    </row>
    <row r="101" spans="5:18" ht="14.25" customHeight="1" x14ac:dyDescent="0.2">
      <c r="E101" s="133"/>
      <c r="F101" s="246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8"/>
    </row>
    <row r="102" spans="5:18" ht="14.25" customHeight="1" x14ac:dyDescent="0.2">
      <c r="E102" s="133"/>
      <c r="F102" s="246"/>
      <c r="G102" s="133"/>
      <c r="R102" s="198"/>
    </row>
    <row r="103" spans="5:18" ht="15.75" customHeight="1" x14ac:dyDescent="0.2">
      <c r="E103" s="133"/>
      <c r="F103" s="246"/>
      <c r="G103" s="133"/>
    </row>
    <row r="104" spans="5:18" ht="15.75" customHeight="1" x14ac:dyDescent="0.2">
      <c r="E104" s="133"/>
      <c r="F104" s="246"/>
      <c r="G104" s="133"/>
    </row>
    <row r="105" spans="5:18" ht="15.75" customHeight="1" x14ac:dyDescent="0.2">
      <c r="E105" s="133"/>
      <c r="F105" s="246"/>
      <c r="G105" s="133"/>
    </row>
    <row r="106" spans="5:18" ht="15.75" customHeight="1" x14ac:dyDescent="0.2">
      <c r="F106" s="246"/>
      <c r="G106" s="133"/>
    </row>
    <row r="107" spans="5:18" ht="15.75" customHeight="1" x14ac:dyDescent="0.2">
      <c r="F107" s="246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  <mergeCell ref="AK51:AL51"/>
    <mergeCell ref="AK41:AL41"/>
    <mergeCell ref="AK42:AL42"/>
    <mergeCell ref="AK43:AL43"/>
    <mergeCell ref="AK44:AL44"/>
    <mergeCell ref="AK45:AL45"/>
    <mergeCell ref="AK46:AL46"/>
    <mergeCell ref="AC47:AF47"/>
    <mergeCell ref="AK47:AL47"/>
    <mergeCell ref="AK48:AL48"/>
    <mergeCell ref="AK49:AL49"/>
    <mergeCell ref="AK50:AL50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C96:D96"/>
    <mergeCell ref="P96:Q96"/>
    <mergeCell ref="C93:D93"/>
    <mergeCell ref="P93:Q93"/>
    <mergeCell ref="C94:D94"/>
    <mergeCell ref="P94:Q94"/>
    <mergeCell ref="C95:D95"/>
    <mergeCell ref="P95:Q95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</cp:lastModifiedBy>
  <dcterms:created xsi:type="dcterms:W3CDTF">2021-07-26T15:39:49Z</dcterms:created>
  <dcterms:modified xsi:type="dcterms:W3CDTF">2023-07-17T14:24:32Z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