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cavallero/Desktop/uni/SENIOR_1SEM/ECON 373 Corporate Finance/"/>
    </mc:Choice>
  </mc:AlternateContent>
  <xr:revisionPtr revIDLastSave="0" documentId="13_ncr:1_{6AF254C1-B1A3-5844-A38A-580EC7EAC2F7}" xr6:coauthVersionLast="47" xr6:coauthVersionMax="47" xr10:uidLastSave="{00000000-0000-0000-0000-000000000000}"/>
  <bookViews>
    <workbookView xWindow="0" yWindow="0" windowWidth="28800" windowHeight="18000" activeTab="4" xr2:uid="{C8F77A73-AE2B-AC40-8CA2-7BC60097816D}"/>
  </bookViews>
  <sheets>
    <sheet name="Sheet1" sheetId="1" r:id="rId1"/>
    <sheet name="New Users for PYPL" sheetId="2" r:id="rId2"/>
    <sheet name="Sheet2" sheetId="5" r:id="rId3"/>
    <sheet name="New ARPU for PINS" sheetId="3" r:id="rId4"/>
    <sheet name="Stock De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K15" i="3"/>
  <c r="K32" i="3"/>
  <c r="G40" i="3"/>
  <c r="O17" i="1"/>
  <c r="E27" i="3" s="1"/>
  <c r="K10" i="3"/>
  <c r="C5" i="2"/>
  <c r="J19" i="2"/>
  <c r="H11" i="3"/>
  <c r="H12" i="3" s="1"/>
  <c r="H15" i="3" s="1"/>
  <c r="B9" i="3"/>
  <c r="G29" i="3"/>
  <c r="F29" i="3"/>
  <c r="E29" i="3"/>
  <c r="D29" i="3"/>
  <c r="C29" i="3"/>
  <c r="C28" i="3" s="1"/>
  <c r="G8" i="3"/>
  <c r="F8" i="3"/>
  <c r="E8" i="3"/>
  <c r="D8" i="3"/>
  <c r="C8" i="3"/>
  <c r="G27" i="3"/>
  <c r="F27" i="3"/>
  <c r="C27" i="3"/>
  <c r="C26" i="3" s="1"/>
  <c r="N17" i="1"/>
  <c r="M17" i="1"/>
  <c r="L17" i="1"/>
  <c r="K17" i="1"/>
  <c r="J17" i="1"/>
  <c r="D5" i="3"/>
  <c r="E5" i="3" s="1"/>
  <c r="F5" i="3" s="1"/>
  <c r="G5" i="3" s="1"/>
  <c r="H5" i="3" s="1"/>
  <c r="C5" i="3"/>
  <c r="G6" i="3"/>
  <c r="F6" i="3"/>
  <c r="E6" i="3"/>
  <c r="D6" i="3"/>
  <c r="C6" i="3"/>
  <c r="O15" i="1"/>
  <c r="N15" i="1"/>
  <c r="M15" i="1"/>
  <c r="L15" i="1"/>
  <c r="K15" i="1"/>
  <c r="J15" i="1"/>
  <c r="N13" i="1"/>
  <c r="M13" i="1"/>
  <c r="L13" i="1"/>
  <c r="K13" i="1"/>
  <c r="J13" i="1"/>
  <c r="O13" i="1" s="1"/>
  <c r="O11" i="1"/>
  <c r="F6" i="2" s="1"/>
  <c r="J15" i="2" s="1"/>
  <c r="N11" i="1"/>
  <c r="M11" i="1"/>
  <c r="L11" i="1"/>
  <c r="K11" i="1"/>
  <c r="J11" i="1"/>
  <c r="M7" i="1"/>
  <c r="N6" i="1"/>
  <c r="N7" i="1" s="1"/>
  <c r="M6" i="1"/>
  <c r="L6" i="1"/>
  <c r="L7" i="1" s="1"/>
  <c r="K6" i="1"/>
  <c r="K7" i="1" s="1"/>
  <c r="G13" i="1"/>
  <c r="F13" i="1"/>
  <c r="E13" i="1"/>
  <c r="D13" i="1"/>
  <c r="H13" i="1" s="1"/>
  <c r="G11" i="1"/>
  <c r="F11" i="1"/>
  <c r="E11" i="1"/>
  <c r="D11" i="1"/>
  <c r="H11" i="1" s="1"/>
  <c r="J6" i="1"/>
  <c r="J7" i="1" s="1"/>
  <c r="O7" i="1" s="1"/>
  <c r="I6" i="1"/>
  <c r="G6" i="1"/>
  <c r="G7" i="1" s="1"/>
  <c r="F6" i="1"/>
  <c r="F7" i="1" s="1"/>
  <c r="E6" i="1"/>
  <c r="D6" i="1"/>
  <c r="C6" i="1"/>
  <c r="C7" i="1" s="1"/>
  <c r="B6" i="1"/>
  <c r="C30" i="4"/>
  <c r="C34" i="4" s="1"/>
  <c r="C8" i="4"/>
  <c r="C13" i="4" s="1"/>
  <c r="C5" i="4"/>
  <c r="E67" i="1"/>
  <c r="J67" i="1"/>
  <c r="I67" i="1"/>
  <c r="H67" i="1"/>
  <c r="G67" i="1"/>
  <c r="F67" i="1"/>
  <c r="D67" i="1"/>
  <c r="B30" i="3"/>
  <c r="B32" i="3" s="1"/>
  <c r="B33" i="3" s="1"/>
  <c r="B36" i="3" s="1"/>
  <c r="B38" i="3" s="1"/>
  <c r="K9" i="3"/>
  <c r="C37" i="3" s="1"/>
  <c r="D37" i="3" s="1"/>
  <c r="E37" i="3" s="1"/>
  <c r="F37" i="3" s="1"/>
  <c r="G37" i="3" s="1"/>
  <c r="C7" i="3"/>
  <c r="D7" i="3" s="1"/>
  <c r="E7" i="3" s="1"/>
  <c r="F7" i="3" s="1"/>
  <c r="G7" i="3" s="1"/>
  <c r="H7" i="3" s="1"/>
  <c r="B11" i="3"/>
  <c r="B12" i="3" s="1"/>
  <c r="B15" i="3" s="1"/>
  <c r="B17" i="3" s="1"/>
  <c r="H60" i="1"/>
  <c r="G60" i="1"/>
  <c r="F60" i="1"/>
  <c r="E60" i="1"/>
  <c r="B32" i="2"/>
  <c r="B34" i="2" s="1"/>
  <c r="B36" i="2" s="1"/>
  <c r="B39" i="2" s="1"/>
  <c r="B42" i="2" s="1"/>
  <c r="B44" i="2" s="1"/>
  <c r="M52" i="1"/>
  <c r="L52" i="1"/>
  <c r="K52" i="1"/>
  <c r="J52" i="1"/>
  <c r="I52" i="1"/>
  <c r="K9" i="2"/>
  <c r="B8" i="2"/>
  <c r="B10" i="2" s="1"/>
  <c r="B12" i="2" s="1"/>
  <c r="M48" i="1"/>
  <c r="L48" i="1"/>
  <c r="K48" i="1"/>
  <c r="J48" i="1"/>
  <c r="I48" i="1"/>
  <c r="H48" i="1"/>
  <c r="G48" i="1"/>
  <c r="F48" i="1"/>
  <c r="E48" i="1"/>
  <c r="D48" i="1"/>
  <c r="C40" i="1"/>
  <c r="G40" i="1"/>
  <c r="F40" i="1"/>
  <c r="E40" i="1"/>
  <c r="D40" i="1"/>
  <c r="D27" i="3" l="1"/>
  <c r="D26" i="3"/>
  <c r="E26" i="3" s="1"/>
  <c r="F26" i="3" s="1"/>
  <c r="G26" i="3" s="1"/>
  <c r="H26" i="3" s="1"/>
  <c r="C16" i="3"/>
  <c r="D16" i="3" s="1"/>
  <c r="E16" i="3" s="1"/>
  <c r="F16" i="3" s="1"/>
  <c r="G16" i="3" s="1"/>
  <c r="C19" i="2"/>
  <c r="D19" i="2" s="1"/>
  <c r="E19" i="2" s="1"/>
  <c r="F19" i="2" s="1"/>
  <c r="G19" i="2" s="1"/>
  <c r="D28" i="3"/>
  <c r="H9" i="3"/>
  <c r="C9" i="3"/>
  <c r="C11" i="3" s="1"/>
  <c r="C12" i="3" s="1"/>
  <c r="C15" i="3" s="1"/>
  <c r="B26" i="3"/>
  <c r="D38" i="2"/>
  <c r="G14" i="2"/>
  <c r="C14" i="2"/>
  <c r="D14" i="2"/>
  <c r="G38" i="2"/>
  <c r="C38" i="2"/>
  <c r="C37" i="2" s="1"/>
  <c r="F14" i="2"/>
  <c r="E38" i="2"/>
  <c r="F38" i="2"/>
  <c r="E14" i="2"/>
  <c r="E30" i="2"/>
  <c r="D30" i="2"/>
  <c r="D29" i="2" s="1"/>
  <c r="E29" i="2" s="1"/>
  <c r="G30" i="2"/>
  <c r="C30" i="2"/>
  <c r="C29" i="2" s="1"/>
  <c r="F30" i="2"/>
  <c r="C6" i="2"/>
  <c r="D5" i="2" s="1"/>
  <c r="E5" i="2" s="1"/>
  <c r="E7" i="1"/>
  <c r="D6" i="2"/>
  <c r="G6" i="2"/>
  <c r="E6" i="2"/>
  <c r="D7" i="1"/>
  <c r="H7" i="1" s="1"/>
  <c r="I60" i="1"/>
  <c r="L55" i="1"/>
  <c r="N48" i="1"/>
  <c r="C32" i="2"/>
  <c r="C34" i="2" s="1"/>
  <c r="C36" i="2" s="1"/>
  <c r="C39" i="2" s="1"/>
  <c r="C42" i="2" s="1"/>
  <c r="C8" i="2"/>
  <c r="C10" i="2" s="1"/>
  <c r="C12" i="2" s="1"/>
  <c r="E9" i="3"/>
  <c r="C14" i="4"/>
  <c r="C43" i="2"/>
  <c r="D43" i="2" s="1"/>
  <c r="E43" i="2" s="1"/>
  <c r="F43" i="2" s="1"/>
  <c r="G43" i="2" s="1"/>
  <c r="C33" i="4"/>
  <c r="H40" i="1"/>
  <c r="H42" i="1" s="1"/>
  <c r="B15" i="2"/>
  <c r="B18" i="2" s="1"/>
  <c r="B20" i="2" s="1"/>
  <c r="E28" i="3"/>
  <c r="F9" i="3"/>
  <c r="G9" i="3"/>
  <c r="D9" i="3"/>
  <c r="C17" i="3" l="1"/>
  <c r="D37" i="2"/>
  <c r="E37" i="2" s="1"/>
  <c r="F37" i="2" s="1"/>
  <c r="G37" i="2" s="1"/>
  <c r="H37" i="2" s="1"/>
  <c r="D32" i="2"/>
  <c r="D34" i="2" s="1"/>
  <c r="D36" i="2" s="1"/>
  <c r="D39" i="2" s="1"/>
  <c r="D42" i="2" s="1"/>
  <c r="D44" i="2" s="1"/>
  <c r="D8" i="2"/>
  <c r="D10" i="2" s="1"/>
  <c r="D12" i="2" s="1"/>
  <c r="C13" i="2"/>
  <c r="D13" i="2" s="1"/>
  <c r="F29" i="2"/>
  <c r="E32" i="2"/>
  <c r="E34" i="2" s="1"/>
  <c r="E36" i="2" s="1"/>
  <c r="E39" i="2" s="1"/>
  <c r="E42" i="2" s="1"/>
  <c r="E44" i="2" s="1"/>
  <c r="C44" i="2"/>
  <c r="F28" i="3"/>
  <c r="D11" i="3"/>
  <c r="D12" i="3" s="1"/>
  <c r="D15" i="3" s="1"/>
  <c r="D17" i="3" s="1"/>
  <c r="F5" i="2"/>
  <c r="E8" i="2"/>
  <c r="E10" i="2" s="1"/>
  <c r="E12" i="2" s="1"/>
  <c r="E13" i="2" l="1"/>
  <c r="F13" i="2" s="1"/>
  <c r="G13" i="2" s="1"/>
  <c r="H13" i="2" s="1"/>
  <c r="D15" i="2"/>
  <c r="D18" i="2" s="1"/>
  <c r="D20" i="2" s="1"/>
  <c r="C15" i="2"/>
  <c r="C18" i="2" s="1"/>
  <c r="C20" i="2" s="1"/>
  <c r="G29" i="2"/>
  <c r="F32" i="2"/>
  <c r="F34" i="2" s="1"/>
  <c r="F36" i="2" s="1"/>
  <c r="F39" i="2" s="1"/>
  <c r="F42" i="2" s="1"/>
  <c r="G28" i="3"/>
  <c r="E11" i="3"/>
  <c r="E12" i="3" s="1"/>
  <c r="E15" i="3" s="1"/>
  <c r="E17" i="3" s="1"/>
  <c r="G5" i="2"/>
  <c r="F8" i="2"/>
  <c r="F10" i="2" s="1"/>
  <c r="F12" i="2" s="1"/>
  <c r="F44" i="2" l="1"/>
  <c r="K28" i="2"/>
  <c r="E15" i="2"/>
  <c r="E18" i="2" s="1"/>
  <c r="F15" i="2"/>
  <c r="F18" i="2" s="1"/>
  <c r="H29" i="2"/>
  <c r="H32" i="2" s="1"/>
  <c r="H34" i="2" s="1"/>
  <c r="H36" i="2" s="1"/>
  <c r="H39" i="2" s="1"/>
  <c r="H42" i="2" s="1"/>
  <c r="G32" i="2"/>
  <c r="G34" i="2" s="1"/>
  <c r="G36" i="2" s="1"/>
  <c r="G39" i="2" s="1"/>
  <c r="G42" i="2" s="1"/>
  <c r="G44" i="2" s="1"/>
  <c r="B45" i="2" s="1"/>
  <c r="H28" i="3"/>
  <c r="F11" i="3"/>
  <c r="F12" i="3" s="1"/>
  <c r="F15" i="3" s="1"/>
  <c r="H5" i="2"/>
  <c r="H8" i="2" s="1"/>
  <c r="H10" i="2" s="1"/>
  <c r="H12" i="2" s="1"/>
  <c r="H15" i="2" s="1"/>
  <c r="H18" i="2" s="1"/>
  <c r="G8" i="2"/>
  <c r="G10" i="2" s="1"/>
  <c r="G12" i="2" s="1"/>
  <c r="G15" i="2" s="1"/>
  <c r="G18" i="2" s="1"/>
  <c r="G20" i="2" s="1"/>
  <c r="E20" i="2" l="1"/>
  <c r="K10" i="2"/>
  <c r="K11" i="2"/>
  <c r="G22" i="2" s="1"/>
  <c r="F17" i="3"/>
  <c r="K29" i="2"/>
  <c r="F20" i="2"/>
  <c r="B21" i="2" s="1"/>
  <c r="B23" i="2"/>
  <c r="G11" i="3"/>
  <c r="G12" i="3" s="1"/>
  <c r="G15" i="3" s="1"/>
  <c r="L37" i="2" l="1"/>
  <c r="G46" i="2"/>
  <c r="B47" i="2" s="1"/>
  <c r="B48" i="2" s="1"/>
  <c r="B18" i="3"/>
  <c r="G17" i="3"/>
  <c r="K11" i="3"/>
  <c r="B20" i="3" s="1"/>
  <c r="B24" i="2"/>
  <c r="L24" i="2" s="1"/>
  <c r="H30" i="3"/>
  <c r="H32" i="3" s="1"/>
  <c r="H33" i="3" s="1"/>
  <c r="H36" i="3" s="1"/>
  <c r="C30" i="3"/>
  <c r="C32" i="3" s="1"/>
  <c r="C33" i="3" s="1"/>
  <c r="C36" i="3" s="1"/>
  <c r="C38" i="3" s="1"/>
  <c r="G30" i="3"/>
  <c r="G32" i="3" s="1"/>
  <c r="G33" i="3" s="1"/>
  <c r="G36" i="3" s="1"/>
  <c r="G38" i="3" s="1"/>
  <c r="E30" i="3"/>
  <c r="E32" i="3" s="1"/>
  <c r="E33" i="3" s="1"/>
  <c r="E36" i="3" s="1"/>
  <c r="E38" i="3" s="1"/>
  <c r="F30" i="3"/>
  <c r="F32" i="3" s="1"/>
  <c r="F33" i="3" s="1"/>
  <c r="F36" i="3" s="1"/>
  <c r="D30" i="3"/>
  <c r="D32" i="3" s="1"/>
  <c r="D33" i="3" s="1"/>
  <c r="D36" i="3" s="1"/>
  <c r="D38" i="3" s="1"/>
  <c r="B41" i="3" l="1"/>
  <c r="B21" i="3"/>
  <c r="F38" i="3"/>
  <c r="B39" i="3" s="1"/>
  <c r="K25" i="3"/>
  <c r="K26" i="3"/>
  <c r="B42" i="3" l="1"/>
  <c r="C10" i="4" s="1"/>
  <c r="C16" i="4" s="1"/>
  <c r="C17" i="4" l="1"/>
  <c r="C18" i="4" s="1"/>
  <c r="C20" i="4" s="1"/>
  <c r="C22" i="4" s="1"/>
</calcChain>
</file>

<file path=xl/sharedStrings.xml><?xml version="1.0" encoding="utf-8"?>
<sst xmlns="http://schemas.openxmlformats.org/spreadsheetml/2006/main" count="139" uniqueCount="76">
  <si>
    <t xml:space="preserve">Revenue </t>
  </si>
  <si>
    <t>Free Cash Flow</t>
  </si>
  <si>
    <t>F/R</t>
  </si>
  <si>
    <t xml:space="preserve">Average </t>
  </si>
  <si>
    <t xml:space="preserve">% of frequent Pins shoppers </t>
  </si>
  <si>
    <t>Active Accounts</t>
  </si>
  <si>
    <t>% of online buyers that use PYPL</t>
  </si>
  <si>
    <t xml:space="preserve">Number of PINS shoppers </t>
  </si>
  <si>
    <t>Number of PINS shoppers that use PYPL</t>
  </si>
  <si>
    <t>% of new PYPL account from PINS</t>
  </si>
  <si>
    <t>Number of new PYPL accounts from PINS</t>
  </si>
  <si>
    <t>ARPU of PYPL</t>
  </si>
  <si>
    <t xml:space="preserve">Additional Revenue </t>
  </si>
  <si>
    <t xml:space="preserve">Free Cash Flow Margin </t>
  </si>
  <si>
    <t xml:space="preserve">Free Cash Flow </t>
  </si>
  <si>
    <t>In the US</t>
  </si>
  <si>
    <t xml:space="preserve">Growth rate in active accounts </t>
  </si>
  <si>
    <t xml:space="preserve">risk free rate </t>
  </si>
  <si>
    <t>Beta of PYPL</t>
  </si>
  <si>
    <t xml:space="preserve">Expected market return </t>
  </si>
  <si>
    <t>Required rate of return</t>
  </si>
  <si>
    <t xml:space="preserve">Discount </t>
  </si>
  <si>
    <t xml:space="preserve">PV </t>
  </si>
  <si>
    <t>Horizon Value</t>
  </si>
  <si>
    <t xml:space="preserve">PV of Horizon Value </t>
  </si>
  <si>
    <t>PV of Free Cash Flows</t>
  </si>
  <si>
    <t xml:space="preserve">Outside the US </t>
  </si>
  <si>
    <t>ARPU before PYPL</t>
  </si>
  <si>
    <t>Revenue before PYPL</t>
  </si>
  <si>
    <t xml:space="preserve">PINS revenue in US </t>
  </si>
  <si>
    <t>% increase in sales from PYPL</t>
  </si>
  <si>
    <t>Revenue after PYPL</t>
  </si>
  <si>
    <t xml:space="preserve">Additional revenue </t>
  </si>
  <si>
    <t xml:space="preserve">Risk free rate </t>
  </si>
  <si>
    <t xml:space="preserve">ARPU </t>
  </si>
  <si>
    <t xml:space="preserve">PYPL stock price </t>
  </si>
  <si>
    <t>As of 10/19/21</t>
  </si>
  <si>
    <t xml:space="preserve">PYPL shares outstanding </t>
  </si>
  <si>
    <t>PV(PYPL)</t>
  </si>
  <si>
    <t xml:space="preserve">PINS stock price </t>
  </si>
  <si>
    <t>PINS shares outstanding</t>
  </si>
  <si>
    <t>PV(PINS)</t>
  </si>
  <si>
    <t>delta_PV(PYPL+PINS)</t>
  </si>
  <si>
    <t>Amount paid for PINS</t>
  </si>
  <si>
    <t xml:space="preserve">Merger premium </t>
  </si>
  <si>
    <t>PV(PYPL+PINS)</t>
  </si>
  <si>
    <t>Number of shares offered</t>
  </si>
  <si>
    <t>New Price of PYPL</t>
  </si>
  <si>
    <t xml:space="preserve">NPV of merger </t>
  </si>
  <si>
    <t>Should PYPL acquire PINS?</t>
  </si>
  <si>
    <t xml:space="preserve">% Merger premium </t>
  </si>
  <si>
    <t>Microsoft Deal</t>
  </si>
  <si>
    <t>As of 02/11/21</t>
  </si>
  <si>
    <t>Growth rate in ARPU of PYPL</t>
  </si>
  <si>
    <t>growth rate_ARPU_PYPL</t>
  </si>
  <si>
    <t>ARPU_PYPL_US</t>
  </si>
  <si>
    <t>Revenue_PYPL_WRLD</t>
  </si>
  <si>
    <t>Active Accounts_PYPL_WRLD</t>
  </si>
  <si>
    <t>gowth rate accounts_PYPL_WORLD</t>
  </si>
  <si>
    <t>Revenue_PINS_US</t>
  </si>
  <si>
    <t>Revenue_PINS_OUT</t>
  </si>
  <si>
    <t>Active Accounts_PINS_US</t>
  </si>
  <si>
    <t>Active Accounts_PINS_OUT</t>
  </si>
  <si>
    <t>growth rate accounts_PINS_US</t>
  </si>
  <si>
    <t>growth rate accounts_PINS_OUT</t>
  </si>
  <si>
    <t>ARPU_PINS_US</t>
  </si>
  <si>
    <t>ARPU_PINS_OUT</t>
  </si>
  <si>
    <t>growth rate ARPU_PINS_US</t>
  </si>
  <si>
    <t>growth rate ARPU_PINS_</t>
  </si>
  <si>
    <t>growth rate in ARPU_OUT</t>
  </si>
  <si>
    <t xml:space="preserve">Short term growth rate </t>
  </si>
  <si>
    <t xml:space="preserve">Sustainable growth rate </t>
  </si>
  <si>
    <t>Short run growth rate</t>
  </si>
  <si>
    <t xml:space="preserve">Project Value </t>
  </si>
  <si>
    <t>Project Value</t>
  </si>
  <si>
    <t>Growth rate in ARPU_US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</si>
</sst>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0%"/>
    <numFmt numFmtId="167" formatCode="0.00000000000000%"/>
    <numFmt numFmtId="168" formatCode="0.000000%"/>
    <numFmt numFmtId="169" formatCode="0.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0" fontId="0" fillId="0" borderId="0" xfId="2" applyNumberFormat="1" applyFont="1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0" fontId="2" fillId="0" borderId="0" xfId="0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2" fillId="0" borderId="0" xfId="2" applyFont="1"/>
    <xf numFmtId="164" fontId="1" fillId="0" borderId="0" xfId="2" applyNumberFormat="1" applyFont="1"/>
    <xf numFmtId="0" fontId="0" fillId="0" borderId="0" xfId="0" applyFont="1"/>
    <xf numFmtId="9" fontId="2" fillId="0" borderId="0" xfId="2" applyNumberFormat="1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2" applyNumberFormat="1" applyFont="1" applyBorder="1"/>
    <xf numFmtId="0" fontId="0" fillId="0" borderId="5" xfId="2" applyNumberFormat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0" xfId="0" applyNumberFormat="1" applyBorder="1"/>
    <xf numFmtId="44" fontId="0" fillId="0" borderId="5" xfId="0" applyNumberFormat="1" applyBorder="1"/>
    <xf numFmtId="0" fontId="2" fillId="0" borderId="6" xfId="0" applyFont="1" applyBorder="1"/>
    <xf numFmtId="0" fontId="3" fillId="0" borderId="0" xfId="0" applyFont="1" applyBorder="1"/>
    <xf numFmtId="9" fontId="3" fillId="0" borderId="0" xfId="2" applyFont="1" applyBorder="1"/>
    <xf numFmtId="9" fontId="3" fillId="0" borderId="5" xfId="2" applyFont="1" applyBorder="1"/>
    <xf numFmtId="44" fontId="3" fillId="0" borderId="0" xfId="1" applyFont="1" applyBorder="1"/>
    <xf numFmtId="9" fontId="3" fillId="0" borderId="0" xfId="2" applyNumberFormat="1" applyFont="1" applyBorder="1"/>
    <xf numFmtId="0" fontId="3" fillId="0" borderId="4" xfId="0" applyFont="1" applyBorder="1" applyAlignment="1">
      <alignment horizontal="left" indent="1"/>
    </xf>
    <xf numFmtId="44" fontId="2" fillId="0" borderId="0" xfId="0" applyNumberFormat="1" applyFont="1" applyBorder="1"/>
    <xf numFmtId="44" fontId="2" fillId="0" borderId="7" xfId="0" applyNumberFormat="1" applyFont="1" applyFill="1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44" fontId="2" fillId="0" borderId="5" xfId="0" applyNumberFormat="1" applyFont="1" applyBorder="1"/>
    <xf numFmtId="9" fontId="3" fillId="0" borderId="5" xfId="2" applyNumberFormat="1" applyFont="1" applyBorder="1"/>
    <xf numFmtId="9" fontId="3" fillId="0" borderId="0" xfId="1" applyNumberFormat="1" applyFont="1" applyBorder="1"/>
    <xf numFmtId="9" fontId="0" fillId="0" borderId="0" xfId="2" applyFont="1" applyBorder="1"/>
    <xf numFmtId="9" fontId="0" fillId="0" borderId="5" xfId="2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0" xfId="0" applyNumberFormat="1" applyBorder="1"/>
    <xf numFmtId="165" fontId="0" fillId="0" borderId="5" xfId="0" applyNumberFormat="1" applyBorder="1"/>
    <xf numFmtId="0" fontId="2" fillId="0" borderId="6" xfId="0" applyFont="1" applyFill="1" applyBorder="1"/>
    <xf numFmtId="165" fontId="2" fillId="0" borderId="0" xfId="0" applyNumberFormat="1" applyFont="1" applyBorder="1"/>
    <xf numFmtId="165" fontId="2" fillId="0" borderId="5" xfId="0" applyNumberFormat="1" applyFont="1" applyBorder="1"/>
    <xf numFmtId="0" fontId="3" fillId="0" borderId="4" xfId="0" applyFont="1" applyBorder="1"/>
    <xf numFmtId="44" fontId="3" fillId="0" borderId="0" xfId="0" applyNumberFormat="1" applyFont="1" applyBorder="1"/>
    <xf numFmtId="9" fontId="3" fillId="0" borderId="5" xfId="1" applyNumberFormat="1" applyFont="1" applyBorder="1"/>
    <xf numFmtId="0" fontId="0" fillId="0" borderId="4" xfId="0" applyFont="1" applyBorder="1"/>
    <xf numFmtId="9" fontId="1" fillId="0" borderId="0" xfId="2" applyFont="1" applyBorder="1"/>
    <xf numFmtId="9" fontId="1" fillId="0" borderId="5" xfId="2" applyFont="1" applyBorder="1"/>
    <xf numFmtId="16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1" applyNumberFormat="1" applyFont="1" applyBorder="1"/>
    <xf numFmtId="0" fontId="2" fillId="0" borderId="0" xfId="0" applyFont="1" applyFill="1" applyBorder="1"/>
    <xf numFmtId="44" fontId="2" fillId="0" borderId="5" xfId="0" applyNumberFormat="1" applyFont="1" applyFill="1" applyBorder="1"/>
    <xf numFmtId="0" fontId="2" fillId="0" borderId="0" xfId="0" applyFont="1" applyBorder="1"/>
    <xf numFmtId="0" fontId="4" fillId="0" borderId="0" xfId="0" applyFont="1" applyBorder="1"/>
    <xf numFmtId="10" fontId="4" fillId="0" borderId="5" xfId="2" applyNumberFormat="1" applyFont="1" applyBorder="1"/>
    <xf numFmtId="0" fontId="0" fillId="0" borderId="6" xfId="0" applyBorder="1"/>
    <xf numFmtId="0" fontId="2" fillId="0" borderId="1" xfId="0" applyFont="1" applyBorder="1"/>
    <xf numFmtId="0" fontId="4" fillId="0" borderId="7" xfId="0" applyFont="1" applyBorder="1"/>
    <xf numFmtId="10" fontId="4" fillId="0" borderId="8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BD19-9DB4-AB41-86F5-EE61CAD7D721}">
  <dimension ref="A2:O67"/>
  <sheetViews>
    <sheetView workbookViewId="0">
      <pane xSplit="1" topLeftCell="D1" activePane="topRight" state="frozen"/>
      <selection pane="topRight" activeCell="O17" sqref="O17"/>
    </sheetView>
  </sheetViews>
  <sheetFormatPr baseColWidth="10" defaultRowHeight="16" x14ac:dyDescent="0.2"/>
  <cols>
    <col min="1" max="1" width="30.5" bestFit="1" customWidth="1"/>
    <col min="2" max="2" width="13.6640625" customWidth="1"/>
    <col min="3" max="3" width="17.5" bestFit="1" customWidth="1"/>
    <col min="4" max="10" width="18.6640625" bestFit="1" customWidth="1"/>
  </cols>
  <sheetData>
    <row r="2" spans="1:15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 t="s">
        <v>3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 t="s">
        <v>3</v>
      </c>
    </row>
    <row r="3" spans="1:15" x14ac:dyDescent="0.2">
      <c r="A3" t="s">
        <v>56</v>
      </c>
      <c r="B3">
        <v>9248</v>
      </c>
      <c r="C3">
        <v>10842</v>
      </c>
      <c r="D3">
        <v>13094</v>
      </c>
      <c r="E3">
        <v>15451</v>
      </c>
      <c r="F3">
        <v>17772</v>
      </c>
      <c r="G3">
        <v>21454</v>
      </c>
      <c r="I3">
        <v>25357.1</v>
      </c>
      <c r="J3">
        <v>30079</v>
      </c>
      <c r="K3">
        <v>36378.199999999997</v>
      </c>
      <c r="L3">
        <v>43686.400000000001</v>
      </c>
      <c r="M3">
        <v>51887.3</v>
      </c>
      <c r="N3">
        <v>63184</v>
      </c>
    </row>
    <row r="4" spans="1:15" x14ac:dyDescent="0.2">
      <c r="A4" t="s">
        <v>57</v>
      </c>
      <c r="B4">
        <v>179</v>
      </c>
      <c r="C4">
        <v>199</v>
      </c>
      <c r="D4">
        <v>229</v>
      </c>
      <c r="E4">
        <v>267</v>
      </c>
      <c r="F4">
        <v>305</v>
      </c>
      <c r="G4">
        <v>377</v>
      </c>
      <c r="I4">
        <v>428.3</v>
      </c>
      <c r="J4">
        <v>482.1</v>
      </c>
      <c r="K4">
        <v>538.9</v>
      </c>
      <c r="L4">
        <v>616.79999999999995</v>
      </c>
      <c r="M4">
        <v>696.7</v>
      </c>
      <c r="N4">
        <v>744.1</v>
      </c>
    </row>
    <row r="5" spans="1:15" x14ac:dyDescent="0.2">
      <c r="A5" t="s">
        <v>58</v>
      </c>
    </row>
    <row r="6" spans="1:15" x14ac:dyDescent="0.2">
      <c r="A6" t="s">
        <v>55</v>
      </c>
      <c r="B6">
        <f>B3/B4</f>
        <v>51.66480446927374</v>
      </c>
      <c r="C6">
        <f t="shared" ref="C6:G6" si="0">C3/C4</f>
        <v>54.482412060301506</v>
      </c>
      <c r="D6">
        <f t="shared" si="0"/>
        <v>57.179039301310041</v>
      </c>
      <c r="E6">
        <f t="shared" si="0"/>
        <v>57.868913857677903</v>
      </c>
      <c r="F6">
        <f t="shared" si="0"/>
        <v>58.268852459016394</v>
      </c>
      <c r="G6">
        <f t="shared" si="0"/>
        <v>56.907161803713528</v>
      </c>
      <c r="I6">
        <f>I3/I4</f>
        <v>59.204062572962869</v>
      </c>
      <c r="J6">
        <f>J3/J4</f>
        <v>62.391619995851478</v>
      </c>
      <c r="K6">
        <f t="shared" ref="K6:N6" si="1">K3/K4</f>
        <v>67.504546298014475</v>
      </c>
      <c r="L6">
        <f t="shared" si="1"/>
        <v>70.827496757457851</v>
      </c>
      <c r="M6">
        <f t="shared" si="1"/>
        <v>74.475814554327542</v>
      </c>
      <c r="N6">
        <f t="shared" si="1"/>
        <v>84.913318102405583</v>
      </c>
    </row>
    <row r="7" spans="1:15" x14ac:dyDescent="0.2">
      <c r="A7" t="s">
        <v>54</v>
      </c>
      <c r="C7">
        <f>(C6-B6)/B6</f>
        <v>5.4536306097963901E-2</v>
      </c>
      <c r="D7">
        <f t="shared" ref="D7:G7" si="2">(D6-C6)/C6</f>
        <v>4.949537179124687E-2</v>
      </c>
      <c r="E7">
        <f t="shared" si="2"/>
        <v>1.2065165221341097E-2</v>
      </c>
      <c r="F7">
        <f t="shared" si="2"/>
        <v>6.9111129737477843E-3</v>
      </c>
      <c r="G7">
        <f t="shared" si="2"/>
        <v>-2.3369100262625141E-2</v>
      </c>
      <c r="H7" s="14">
        <f>SUM(C7:G7)/5</f>
        <v>1.9927771164334907E-2</v>
      </c>
      <c r="J7">
        <f>(J6-I6)/I6</f>
        <v>5.3840180628825521E-2</v>
      </c>
      <c r="K7">
        <f t="shared" ref="K7:N7" si="3">(K6-J6)/J6</f>
        <v>8.1948926835093611E-2</v>
      </c>
      <c r="L7">
        <f t="shared" si="3"/>
        <v>4.9225580226455283E-2</v>
      </c>
      <c r="M7">
        <f t="shared" si="3"/>
        <v>5.1509907364974572E-2</v>
      </c>
      <c r="N7">
        <f t="shared" si="3"/>
        <v>0.14014621539270633</v>
      </c>
      <c r="O7" s="13">
        <f>SUM(J7:N7)/5</f>
        <v>7.5334162089611065E-2</v>
      </c>
    </row>
    <row r="8" spans="1:15" x14ac:dyDescent="0.2">
      <c r="A8" t="s">
        <v>59</v>
      </c>
      <c r="H8" s="15"/>
      <c r="O8" s="8"/>
    </row>
    <row r="9" spans="1:15" x14ac:dyDescent="0.2">
      <c r="A9" t="s">
        <v>60</v>
      </c>
      <c r="H9" s="15"/>
      <c r="O9" s="8"/>
    </row>
    <row r="10" spans="1:15" x14ac:dyDescent="0.2">
      <c r="A10" t="s">
        <v>61</v>
      </c>
      <c r="C10">
        <v>70</v>
      </c>
      <c r="D10">
        <v>76</v>
      </c>
      <c r="E10">
        <v>82</v>
      </c>
      <c r="F10">
        <v>88</v>
      </c>
      <c r="G10">
        <v>98</v>
      </c>
      <c r="H10" s="15"/>
      <c r="I10">
        <v>89.9</v>
      </c>
      <c r="J10">
        <v>92.6</v>
      </c>
      <c r="K10">
        <v>95.2</v>
      </c>
      <c r="L10">
        <v>96.5</v>
      </c>
      <c r="M10">
        <v>97.3</v>
      </c>
      <c r="N10">
        <v>99.9</v>
      </c>
      <c r="O10" s="8"/>
    </row>
    <row r="11" spans="1:15" x14ac:dyDescent="0.2">
      <c r="A11" t="s">
        <v>63</v>
      </c>
      <c r="D11">
        <f>(D10-C10)/C10</f>
        <v>8.5714285714285715E-2</v>
      </c>
      <c r="E11">
        <f t="shared" ref="E11:G11" si="4">(E10-D10)/D10</f>
        <v>7.8947368421052627E-2</v>
      </c>
      <c r="F11">
        <f t="shared" si="4"/>
        <v>7.3170731707317069E-2</v>
      </c>
      <c r="G11">
        <f t="shared" si="4"/>
        <v>0.11363636363636363</v>
      </c>
      <c r="H11" s="14">
        <f>SUM(D11:G11)/4</f>
        <v>8.7867187369754768E-2</v>
      </c>
      <c r="J11">
        <f>(J10-I10)/I10</f>
        <v>3.003337041156828E-2</v>
      </c>
      <c r="K11">
        <f t="shared" ref="K11:N11" si="5">(K10-J10)/J10</f>
        <v>2.8077753779697717E-2</v>
      </c>
      <c r="L11">
        <f t="shared" si="5"/>
        <v>1.365546218487392E-2</v>
      </c>
      <c r="M11">
        <f t="shared" si="5"/>
        <v>8.2901554404144779E-3</v>
      </c>
      <c r="N11">
        <f t="shared" si="5"/>
        <v>2.6721479958890119E-2</v>
      </c>
      <c r="O11" s="13">
        <f>SUM(J11:N11)/5</f>
        <v>2.1355644355088903E-2</v>
      </c>
    </row>
    <row r="12" spans="1:15" x14ac:dyDescent="0.2">
      <c r="A12" t="s">
        <v>62</v>
      </c>
      <c r="C12">
        <v>90</v>
      </c>
      <c r="D12">
        <v>139</v>
      </c>
      <c r="E12">
        <v>184</v>
      </c>
      <c r="F12">
        <v>247</v>
      </c>
      <c r="G12">
        <v>361</v>
      </c>
      <c r="H12" s="15"/>
      <c r="I12">
        <v>360.1</v>
      </c>
      <c r="J12">
        <v>394.5</v>
      </c>
      <c r="K12">
        <v>428.4</v>
      </c>
      <c r="L12">
        <v>437.4</v>
      </c>
      <c r="M12">
        <v>453.1</v>
      </c>
      <c r="N12">
        <v>475.6</v>
      </c>
      <c r="O12" s="13"/>
    </row>
    <row r="13" spans="1:15" x14ac:dyDescent="0.2">
      <c r="A13" t="s">
        <v>64</v>
      </c>
      <c r="D13">
        <f>(D12-C12)/C12</f>
        <v>0.5444444444444444</v>
      </c>
      <c r="E13">
        <f t="shared" ref="E13:G13" si="6">(E12-D12)/D12</f>
        <v>0.32374100719424459</v>
      </c>
      <c r="F13">
        <f t="shared" si="6"/>
        <v>0.34239130434782611</v>
      </c>
      <c r="G13">
        <f t="shared" si="6"/>
        <v>0.46153846153846156</v>
      </c>
      <c r="H13" s="14">
        <f>SUM(D13:G13)/4</f>
        <v>0.41802880438124412</v>
      </c>
      <c r="J13">
        <f>(J12-I12)/I12</f>
        <v>9.5529019716745281E-2</v>
      </c>
      <c r="K13">
        <f t="shared" ref="K13:N13" si="7">(K12-J12)/J12</f>
        <v>8.5931558935361155E-2</v>
      </c>
      <c r="L13">
        <f t="shared" si="7"/>
        <v>2.100840336134454E-2</v>
      </c>
      <c r="M13">
        <f t="shared" si="7"/>
        <v>3.5893918609968101E-2</v>
      </c>
      <c r="N13">
        <f t="shared" si="7"/>
        <v>4.9657912160670933E-2</v>
      </c>
      <c r="O13" s="16">
        <f>SUM(J13:N13)/5</f>
        <v>5.7604162556818009E-2</v>
      </c>
    </row>
    <row r="14" spans="1:15" x14ac:dyDescent="0.2">
      <c r="A14" t="s">
        <v>65</v>
      </c>
      <c r="I14">
        <v>21.5</v>
      </c>
      <c r="J14">
        <v>24.14</v>
      </c>
      <c r="K14">
        <v>28.01</v>
      </c>
      <c r="L14">
        <v>29.3</v>
      </c>
      <c r="M14">
        <v>30.31</v>
      </c>
      <c r="N14">
        <v>30.11</v>
      </c>
    </row>
    <row r="15" spans="1:15" x14ac:dyDescent="0.2">
      <c r="A15" t="s">
        <v>67</v>
      </c>
      <c r="J15">
        <f>(J14-I14)/I14</f>
        <v>0.12279069767441864</v>
      </c>
      <c r="K15">
        <f t="shared" ref="K15:N15" si="8">(K14-J14)/J14</f>
        <v>0.16031483015741513</v>
      </c>
      <c r="L15">
        <f t="shared" si="8"/>
        <v>4.6054980364155625E-2</v>
      </c>
      <c r="M15">
        <f t="shared" si="8"/>
        <v>3.4470989761092079E-2</v>
      </c>
      <c r="N15">
        <f t="shared" si="8"/>
        <v>-6.5984823490596927E-3</v>
      </c>
      <c r="O15" s="13">
        <f>SUM(J15:N15)/5</f>
        <v>7.1406603121604351E-2</v>
      </c>
    </row>
    <row r="16" spans="1:15" x14ac:dyDescent="0.2">
      <c r="A16" t="s">
        <v>66</v>
      </c>
      <c r="I16">
        <v>1.43</v>
      </c>
      <c r="J16">
        <v>2.0699999999999998</v>
      </c>
      <c r="K16">
        <v>2.86</v>
      </c>
      <c r="L16">
        <v>3.5</v>
      </c>
      <c r="M16">
        <v>4.1500000000000004</v>
      </c>
      <c r="N16">
        <v>4.63</v>
      </c>
    </row>
    <row r="17" spans="1:15" x14ac:dyDescent="0.2">
      <c r="A17" t="s">
        <v>68</v>
      </c>
      <c r="J17">
        <f>(J16-I16)/I16</f>
        <v>0.4475524475524475</v>
      </c>
      <c r="K17">
        <f t="shared" ref="K17:N17" si="9">(K16-J16)/J16</f>
        <v>0.38164251207729472</v>
      </c>
      <c r="L17">
        <f t="shared" si="9"/>
        <v>0.22377622377622383</v>
      </c>
      <c r="M17">
        <f t="shared" si="9"/>
        <v>0.1857142857142858</v>
      </c>
      <c r="N17">
        <f t="shared" si="9"/>
        <v>0.11566265060240952</v>
      </c>
      <c r="O17" s="13">
        <f>SUM(J17:N17)/5</f>
        <v>0.27086962394453223</v>
      </c>
    </row>
    <row r="37" spans="1:14" x14ac:dyDescent="0.2">
      <c r="C37">
        <v>2016</v>
      </c>
      <c r="D37">
        <v>2017</v>
      </c>
      <c r="E37">
        <v>2018</v>
      </c>
      <c r="F37">
        <v>2019</v>
      </c>
      <c r="G37">
        <v>2020</v>
      </c>
      <c r="H37" t="s">
        <v>3</v>
      </c>
    </row>
    <row r="38" spans="1:14" x14ac:dyDescent="0.2">
      <c r="A38" t="s">
        <v>0</v>
      </c>
      <c r="C38">
        <v>10842</v>
      </c>
      <c r="D38">
        <v>13094</v>
      </c>
      <c r="E38">
        <v>15451</v>
      </c>
      <c r="F38">
        <v>17772</v>
      </c>
      <c r="G38">
        <v>21454</v>
      </c>
    </row>
    <row r="39" spans="1:14" x14ac:dyDescent="0.2">
      <c r="A39" t="s">
        <v>1</v>
      </c>
      <c r="C39">
        <v>2489</v>
      </c>
      <c r="D39">
        <v>1864</v>
      </c>
      <c r="E39">
        <v>4657</v>
      </c>
      <c r="F39">
        <v>3367</v>
      </c>
      <c r="G39">
        <v>4988</v>
      </c>
    </row>
    <row r="40" spans="1:14" x14ac:dyDescent="0.2">
      <c r="A40" t="s">
        <v>2</v>
      </c>
      <c r="C40">
        <f>C39/C38</f>
        <v>0.22957019000184467</v>
      </c>
      <c r="D40">
        <f>D39/D38</f>
        <v>0.14235527722621047</v>
      </c>
      <c r="E40">
        <f t="shared" ref="E40:G40" si="10">E39/E38</f>
        <v>0.30140443984208143</v>
      </c>
      <c r="F40">
        <f t="shared" si="10"/>
        <v>0.18945532297996848</v>
      </c>
      <c r="G40">
        <f t="shared" si="10"/>
        <v>0.23249743637550108</v>
      </c>
      <c r="H40" s="2">
        <f>SUM(C40:G40)/5</f>
        <v>0.21905653328512123</v>
      </c>
    </row>
    <row r="41" spans="1:14" x14ac:dyDescent="0.2">
      <c r="H41">
        <v>56.4</v>
      </c>
    </row>
    <row r="42" spans="1:14" x14ac:dyDescent="0.2">
      <c r="H42">
        <f>H41*H40</f>
        <v>12.354788477280836</v>
      </c>
    </row>
    <row r="47" spans="1:14" x14ac:dyDescent="0.2">
      <c r="C47">
        <v>70</v>
      </c>
      <c r="D47">
        <v>76</v>
      </c>
      <c r="E47">
        <v>82</v>
      </c>
      <c r="F47">
        <v>88</v>
      </c>
      <c r="G47">
        <v>98</v>
      </c>
      <c r="H47">
        <v>90</v>
      </c>
      <c r="I47">
        <v>92.8</v>
      </c>
      <c r="J47">
        <v>95.3</v>
      </c>
      <c r="K47">
        <v>96.7</v>
      </c>
      <c r="L47">
        <v>97.5</v>
      </c>
      <c r="M47">
        <v>99.9</v>
      </c>
    </row>
    <row r="48" spans="1:14" x14ac:dyDescent="0.2">
      <c r="D48">
        <f>(D47-C47)/C47</f>
        <v>8.5714285714285715E-2</v>
      </c>
      <c r="E48">
        <f t="shared" ref="E48:G48" si="11">(E47-D47)/D47</f>
        <v>7.8947368421052627E-2</v>
      </c>
      <c r="F48">
        <f t="shared" si="11"/>
        <v>7.3170731707317069E-2</v>
      </c>
      <c r="G48">
        <f t="shared" si="11"/>
        <v>0.11363636363636363</v>
      </c>
      <c r="H48">
        <f t="shared" ref="H48" si="12">(H47-G47)/G47</f>
        <v>-8.1632653061224483E-2</v>
      </c>
      <c r="I48">
        <f t="shared" ref="I48" si="13">(I47-H47)/H47</f>
        <v>3.1111111111111079E-2</v>
      </c>
      <c r="J48">
        <f t="shared" ref="J48" si="14">(J47-I47)/I47</f>
        <v>2.6939655172413795E-2</v>
      </c>
      <c r="K48">
        <f t="shared" ref="K48" si="15">(K47-J47)/J47</f>
        <v>1.4690451206715695E-2</v>
      </c>
      <c r="L48">
        <f t="shared" ref="L48" si="16">(L47-K47)/K47</f>
        <v>8.2730093071354417E-3</v>
      </c>
      <c r="M48">
        <f t="shared" ref="M48" si="17">(M47-L47)/L47</f>
        <v>2.4615384615384674E-2</v>
      </c>
      <c r="N48">
        <f>SUM(D48:M48)/10</f>
        <v>3.7546570783055525E-2</v>
      </c>
    </row>
    <row r="51" spans="3:13" x14ac:dyDescent="0.2">
      <c r="H51">
        <v>361.3</v>
      </c>
      <c r="I51">
        <v>395.5</v>
      </c>
      <c r="J51">
        <v>428.6</v>
      </c>
      <c r="K51">
        <v>439.1</v>
      </c>
      <c r="L51">
        <v>455.4</v>
      </c>
      <c r="M51">
        <v>477.1</v>
      </c>
    </row>
    <row r="52" spans="3:13" x14ac:dyDescent="0.2">
      <c r="I52">
        <f>(I51-H51)/H51</f>
        <v>9.4658178798782147E-2</v>
      </c>
      <c r="J52">
        <f t="shared" ref="J52:M52" si="18">(J51-I51)/I51</f>
        <v>8.3691529709228885E-2</v>
      </c>
      <c r="K52">
        <f t="shared" si="18"/>
        <v>2.4498366775548296E-2</v>
      </c>
      <c r="L52">
        <f t="shared" si="18"/>
        <v>3.712138465042121E-2</v>
      </c>
      <c r="M52">
        <f t="shared" si="18"/>
        <v>4.7650417215634712E-2</v>
      </c>
    </row>
    <row r="55" spans="3:13" x14ac:dyDescent="0.2">
      <c r="L55">
        <f>SUM(I52:M52)/5</f>
        <v>5.7523975429923047E-2</v>
      </c>
    </row>
    <row r="58" spans="3:13" x14ac:dyDescent="0.2">
      <c r="C58" t="s">
        <v>29</v>
      </c>
      <c r="D58">
        <v>2017</v>
      </c>
      <c r="E58">
        <v>2018</v>
      </c>
      <c r="F58">
        <v>2019</v>
      </c>
      <c r="G58">
        <v>2020</v>
      </c>
      <c r="H58">
        <v>2021</v>
      </c>
      <c r="I58" t="s">
        <v>3</v>
      </c>
    </row>
    <row r="59" spans="3:13" x14ac:dyDescent="0.2">
      <c r="D59">
        <v>443.8</v>
      </c>
      <c r="E59">
        <v>697.2</v>
      </c>
      <c r="F59">
        <v>1010.2</v>
      </c>
      <c r="G59">
        <v>1404.3</v>
      </c>
      <c r="H59">
        <v>2054.1999999999998</v>
      </c>
    </row>
    <row r="60" spans="3:13" x14ac:dyDescent="0.2">
      <c r="E60">
        <f>(E59-D59)/D59</f>
        <v>0.57097791798107267</v>
      </c>
      <c r="F60">
        <f t="shared" ref="F60:H60" si="19">(F59-E59)/E59</f>
        <v>0.44893861158921394</v>
      </c>
      <c r="G60">
        <f t="shared" si="19"/>
        <v>0.39012076816471974</v>
      </c>
      <c r="H60">
        <f t="shared" si="19"/>
        <v>0.46279285053051333</v>
      </c>
      <c r="I60">
        <f>SUM(E60:H60)/4</f>
        <v>0.46820753706637996</v>
      </c>
    </row>
    <row r="64" spans="3:13" x14ac:dyDescent="0.2">
      <c r="D64">
        <v>2021</v>
      </c>
      <c r="E64">
        <v>2022</v>
      </c>
      <c r="F64">
        <v>2023</v>
      </c>
      <c r="G64">
        <v>2024</v>
      </c>
      <c r="H64">
        <v>2025</v>
      </c>
      <c r="I64">
        <v>2026</v>
      </c>
      <c r="J64">
        <v>2027</v>
      </c>
    </row>
    <row r="65" spans="3:10" x14ac:dyDescent="0.2">
      <c r="C65" t="s">
        <v>0</v>
      </c>
      <c r="D65" s="5">
        <v>25357100000</v>
      </c>
      <c r="E65" s="5">
        <v>30079900000</v>
      </c>
      <c r="F65" s="5">
        <v>36378200000</v>
      </c>
      <c r="G65" s="5">
        <v>43686000000</v>
      </c>
      <c r="H65" s="5">
        <v>51887300000</v>
      </c>
      <c r="I65" s="5">
        <v>63184000000</v>
      </c>
      <c r="J65" s="5">
        <v>72347000000</v>
      </c>
    </row>
    <row r="66" spans="3:10" x14ac:dyDescent="0.2">
      <c r="C66" t="s">
        <v>5</v>
      </c>
      <c r="D66">
        <v>428300000</v>
      </c>
      <c r="E66">
        <v>482100000</v>
      </c>
      <c r="F66">
        <v>538900000</v>
      </c>
      <c r="G66">
        <v>616800000</v>
      </c>
      <c r="H66">
        <v>696700000</v>
      </c>
      <c r="I66">
        <v>744100000</v>
      </c>
      <c r="J66">
        <v>825900000</v>
      </c>
    </row>
    <row r="67" spans="3:10" x14ac:dyDescent="0.2">
      <c r="C67" t="s">
        <v>34</v>
      </c>
      <c r="D67" s="6">
        <f>D65/D66</f>
        <v>59.204062572962876</v>
      </c>
      <c r="E67" s="6">
        <f>E65/E66</f>
        <v>62.393486828458826</v>
      </c>
      <c r="F67" s="6">
        <f t="shared" ref="F67:J67" si="20">F65/F66</f>
        <v>67.504546298014475</v>
      </c>
      <c r="G67" s="6">
        <f t="shared" si="20"/>
        <v>70.826848249027236</v>
      </c>
      <c r="H67" s="6">
        <f t="shared" si="20"/>
        <v>74.475814554327542</v>
      </c>
      <c r="I67" s="6">
        <f t="shared" si="20"/>
        <v>84.913318102405597</v>
      </c>
      <c r="J67" s="6">
        <f t="shared" si="20"/>
        <v>87.597772127376189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8CF2-AAB0-7346-A476-45ADAA9658C5}">
  <dimension ref="A3:Q54"/>
  <sheetViews>
    <sheetView topLeftCell="A12" zoomScale="96" workbookViewId="0">
      <selection activeCell="A28" sqref="A28:H48"/>
    </sheetView>
  </sheetViews>
  <sheetFormatPr baseColWidth="10" defaultRowHeight="16" x14ac:dyDescent="0.2"/>
  <cols>
    <col min="1" max="1" width="34.33203125" bestFit="1" customWidth="1"/>
    <col min="2" max="2" width="18.33203125" bestFit="1" customWidth="1"/>
    <col min="3" max="4" width="17.6640625" bestFit="1" customWidth="1"/>
    <col min="5" max="8" width="18.33203125" bestFit="1" customWidth="1"/>
    <col min="10" max="10" width="21" bestFit="1" customWidth="1"/>
  </cols>
  <sheetData>
    <row r="3" spans="1:17" ht="17" thickBot="1" x14ac:dyDescent="0.25">
      <c r="A3" t="s">
        <v>15</v>
      </c>
    </row>
    <row r="4" spans="1:17" x14ac:dyDescent="0.2">
      <c r="A4" s="17"/>
      <c r="B4" s="18">
        <v>2021</v>
      </c>
      <c r="C4" s="18">
        <v>2022</v>
      </c>
      <c r="D4" s="18">
        <v>2023</v>
      </c>
      <c r="E4" s="18">
        <v>2024</v>
      </c>
      <c r="F4" s="18">
        <v>2025</v>
      </c>
      <c r="G4" s="18">
        <v>2026</v>
      </c>
      <c r="H4" s="19">
        <v>2027</v>
      </c>
    </row>
    <row r="5" spans="1:17" x14ac:dyDescent="0.2">
      <c r="A5" s="20" t="s">
        <v>5</v>
      </c>
      <c r="B5" s="21">
        <v>90000000</v>
      </c>
      <c r="C5" s="21">
        <f>B5*(1+C6)</f>
        <v>91922007.991957992</v>
      </c>
      <c r="D5" s="21">
        <f t="shared" ref="D5:H5" si="0">C5*(1+D6)</f>
        <v>93885061.703039885</v>
      </c>
      <c r="E5" s="21">
        <f t="shared" si="0"/>
        <v>95890037.69102557</v>
      </c>
      <c r="F5" s="21">
        <f t="shared" si="0"/>
        <v>97937831.233151183</v>
      </c>
      <c r="G5" s="21">
        <f t="shared" si="0"/>
        <v>100029356.72587508</v>
      </c>
      <c r="H5" s="22">
        <f t="shared" si="0"/>
        <v>101029650.29313383</v>
      </c>
    </row>
    <row r="6" spans="1:17" x14ac:dyDescent="0.2">
      <c r="A6" s="35" t="s">
        <v>16</v>
      </c>
      <c r="B6" s="30"/>
      <c r="C6" s="34">
        <f>Sheet1!$O$11</f>
        <v>2.1355644355088903E-2</v>
      </c>
      <c r="D6" s="31">
        <f>Sheet1!$O$11</f>
        <v>2.1355644355088903E-2</v>
      </c>
      <c r="E6" s="31">
        <f>Sheet1!$O$11</f>
        <v>2.1355644355088903E-2</v>
      </c>
      <c r="F6" s="31">
        <f>Sheet1!$O$11</f>
        <v>2.1355644355088903E-2</v>
      </c>
      <c r="G6" s="31">
        <f>Sheet1!$O$11</f>
        <v>2.1355644355088903E-2</v>
      </c>
      <c r="H6" s="32">
        <v>0.01</v>
      </c>
      <c r="J6" t="s">
        <v>17</v>
      </c>
      <c r="K6" s="1">
        <v>0.04</v>
      </c>
    </row>
    <row r="7" spans="1:17" x14ac:dyDescent="0.2">
      <c r="A7" s="35" t="s">
        <v>4</v>
      </c>
      <c r="B7" s="31">
        <v>0.5</v>
      </c>
      <c r="C7" s="31">
        <v>0.5</v>
      </c>
      <c r="D7" s="31">
        <v>0.5</v>
      </c>
      <c r="E7" s="31">
        <v>0.5</v>
      </c>
      <c r="F7" s="31">
        <v>0.5</v>
      </c>
      <c r="G7" s="31">
        <v>0.5</v>
      </c>
      <c r="H7" s="32">
        <v>0.5</v>
      </c>
      <c r="J7" t="s">
        <v>18</v>
      </c>
      <c r="K7" s="4">
        <v>1.1873</v>
      </c>
    </row>
    <row r="8" spans="1:17" x14ac:dyDescent="0.2">
      <c r="A8" s="20" t="s">
        <v>7</v>
      </c>
      <c r="B8" s="23">
        <f>B5*B7</f>
        <v>45000000</v>
      </c>
      <c r="C8" s="23">
        <f>C5*C7</f>
        <v>45961003.995978996</v>
      </c>
      <c r="D8" s="23">
        <f t="shared" ref="D8:H8" si="1">D5*D7</f>
        <v>46942530.851519942</v>
      </c>
      <c r="E8" s="23">
        <f t="shared" si="1"/>
        <v>47945018.845512785</v>
      </c>
      <c r="F8" s="23">
        <f t="shared" si="1"/>
        <v>48968915.616575591</v>
      </c>
      <c r="G8" s="23">
        <f t="shared" si="1"/>
        <v>50014678.36293754</v>
      </c>
      <c r="H8" s="24">
        <f t="shared" si="1"/>
        <v>50514825.146566913</v>
      </c>
      <c r="J8" t="s">
        <v>19</v>
      </c>
      <c r="K8" s="1">
        <v>0.1</v>
      </c>
    </row>
    <row r="9" spans="1:17" x14ac:dyDescent="0.2">
      <c r="A9" s="35" t="s">
        <v>6</v>
      </c>
      <c r="B9" s="31">
        <v>0.875</v>
      </c>
      <c r="C9" s="31">
        <v>0.875</v>
      </c>
      <c r="D9" s="31">
        <v>0.875</v>
      </c>
      <c r="E9" s="31">
        <v>0.875</v>
      </c>
      <c r="F9" s="31">
        <v>0.875</v>
      </c>
      <c r="G9" s="31">
        <v>0.875</v>
      </c>
      <c r="H9" s="32">
        <v>0.875</v>
      </c>
      <c r="J9" t="s">
        <v>20</v>
      </c>
      <c r="K9" s="7">
        <f>K6+K7*(K8-K6)</f>
        <v>0.111238</v>
      </c>
    </row>
    <row r="10" spans="1:17" x14ac:dyDescent="0.2">
      <c r="A10" s="20" t="s">
        <v>8</v>
      </c>
      <c r="B10" s="21">
        <f>B8*B9</f>
        <v>39375000</v>
      </c>
      <c r="C10" s="21">
        <f t="shared" ref="C10:H10" si="2">C8*C9</f>
        <v>40215878.49648162</v>
      </c>
      <c r="D10" s="21">
        <f t="shared" si="2"/>
        <v>41074714.495079949</v>
      </c>
      <c r="E10" s="21">
        <f t="shared" si="2"/>
        <v>41951891.489823684</v>
      </c>
      <c r="F10" s="21">
        <f t="shared" si="2"/>
        <v>42847801.164503641</v>
      </c>
      <c r="G10" s="21">
        <f t="shared" si="2"/>
        <v>43762843.567570344</v>
      </c>
      <c r="H10" s="22">
        <f t="shared" si="2"/>
        <v>44200472.003246047</v>
      </c>
      <c r="J10" t="s">
        <v>70</v>
      </c>
      <c r="K10" s="3">
        <f>(F18-E18)/E18</f>
        <v>9.8298616018074533E-2</v>
      </c>
    </row>
    <row r="11" spans="1:17" x14ac:dyDescent="0.2">
      <c r="A11" s="35" t="s">
        <v>9</v>
      </c>
      <c r="B11" s="31">
        <v>0</v>
      </c>
      <c r="C11" s="31">
        <v>0.2</v>
      </c>
      <c r="D11" s="31">
        <v>0.2</v>
      </c>
      <c r="E11" s="31">
        <v>0.2</v>
      </c>
      <c r="F11" s="31">
        <v>0.2</v>
      </c>
      <c r="G11" s="31">
        <v>0.2</v>
      </c>
      <c r="H11" s="32">
        <v>0.2</v>
      </c>
      <c r="J11" t="s">
        <v>71</v>
      </c>
      <c r="K11" s="3">
        <f>(H18-G18)/G18</f>
        <v>4.0300000000000197E-2</v>
      </c>
    </row>
    <row r="12" spans="1:17" x14ac:dyDescent="0.2">
      <c r="A12" s="20" t="s">
        <v>10</v>
      </c>
      <c r="B12" s="21">
        <f>B10*B11</f>
        <v>0</v>
      </c>
      <c r="C12" s="21">
        <f t="shared" ref="C12:H12" si="3">C10*C11</f>
        <v>8043175.6992963245</v>
      </c>
      <c r="D12" s="21">
        <f t="shared" si="3"/>
        <v>8214942.8990159901</v>
      </c>
      <c r="E12" s="21">
        <f t="shared" si="3"/>
        <v>8390378.2979647368</v>
      </c>
      <c r="F12" s="21">
        <f t="shared" si="3"/>
        <v>8569560.2329007294</v>
      </c>
      <c r="G12" s="21">
        <f t="shared" si="3"/>
        <v>8752568.7135140691</v>
      </c>
      <c r="H12" s="22">
        <f t="shared" si="3"/>
        <v>8840094.4006492104</v>
      </c>
    </row>
    <row r="13" spans="1:17" x14ac:dyDescent="0.2">
      <c r="A13" s="20" t="s">
        <v>11</v>
      </c>
      <c r="B13" s="25">
        <v>59.204062572962876</v>
      </c>
      <c r="C13" s="25">
        <f>B13*(1+C14)</f>
        <v>63.664151019197938</v>
      </c>
      <c r="D13" s="25">
        <f t="shared" ref="D13:H13" si="4">C13*(1+D14)</f>
        <v>68.460236491375667</v>
      </c>
      <c r="E13" s="25">
        <f t="shared" si="4"/>
        <v>73.617631043910066</v>
      </c>
      <c r="F13" s="25">
        <f t="shared" si="4"/>
        <v>79.163553593625167</v>
      </c>
      <c r="G13" s="25">
        <f t="shared" si="4"/>
        <v>85.127273571636934</v>
      </c>
      <c r="H13" s="26">
        <f t="shared" si="4"/>
        <v>87.68109177878604</v>
      </c>
      <c r="L13" s="5">
        <v>62.393486828458826</v>
      </c>
      <c r="M13" s="5">
        <v>67.504546298014475</v>
      </c>
      <c r="N13" s="5">
        <v>70.826848249027236</v>
      </c>
      <c r="O13" s="5">
        <v>74.475814554327542</v>
      </c>
      <c r="P13" s="5">
        <v>84.913318102405597</v>
      </c>
      <c r="Q13" s="5">
        <v>87.597772127376189</v>
      </c>
    </row>
    <row r="14" spans="1:17" x14ac:dyDescent="0.2">
      <c r="A14" s="35" t="s">
        <v>53</v>
      </c>
      <c r="B14" s="33"/>
      <c r="C14" s="34">
        <f>Sheet1!$O$7</f>
        <v>7.5334162089611065E-2</v>
      </c>
      <c r="D14" s="31">
        <f>Sheet1!$O$7</f>
        <v>7.5334162089611065E-2</v>
      </c>
      <c r="E14" s="31">
        <f>Sheet1!$O$7</f>
        <v>7.5334162089611065E-2</v>
      </c>
      <c r="F14" s="31">
        <f>Sheet1!$O$7</f>
        <v>7.5334162089611065E-2</v>
      </c>
      <c r="G14" s="31">
        <f>Sheet1!$O$7</f>
        <v>7.5334162089611065E-2</v>
      </c>
      <c r="H14" s="32">
        <v>0.03</v>
      </c>
      <c r="L14" s="5"/>
      <c r="M14" s="5"/>
      <c r="N14" s="5"/>
      <c r="O14" s="5"/>
      <c r="P14" s="5"/>
      <c r="Q14" s="5"/>
    </row>
    <row r="15" spans="1:17" x14ac:dyDescent="0.2">
      <c r="A15" s="20" t="s">
        <v>12</v>
      </c>
      <c r="B15" s="27">
        <f>B12*B13</f>
        <v>0</v>
      </c>
      <c r="C15" s="27">
        <f t="shared" ref="C15:H15" si="5">C12*C13</f>
        <v>512061952.3939442</v>
      </c>
      <c r="D15" s="27">
        <f t="shared" si="5"/>
        <v>562396933.62978184</v>
      </c>
      <c r="E15" s="27">
        <f t="shared" si="5"/>
        <v>617679773.85839808</v>
      </c>
      <c r="F15" s="27">
        <f t="shared" si="5"/>
        <v>678396840.77103591</v>
      </c>
      <c r="G15" s="27">
        <f t="shared" si="5"/>
        <v>745082311.32986248</v>
      </c>
      <c r="H15" s="28">
        <f t="shared" si="5"/>
        <v>775109128.47645605</v>
      </c>
      <c r="J15" s="10">
        <f>(1+F6)*(1+F11)</f>
        <v>1.2256267732261066</v>
      </c>
    </row>
    <row r="16" spans="1:17" x14ac:dyDescent="0.2">
      <c r="A16" s="35" t="s">
        <v>13</v>
      </c>
      <c r="B16" s="31">
        <v>0.22</v>
      </c>
      <c r="C16" s="31">
        <v>0.22</v>
      </c>
      <c r="D16" s="31">
        <v>0.22</v>
      </c>
      <c r="E16" s="31">
        <v>0.22</v>
      </c>
      <c r="F16" s="31">
        <v>0.22</v>
      </c>
      <c r="G16" s="31">
        <v>0.22</v>
      </c>
      <c r="H16" s="32">
        <v>0.22</v>
      </c>
    </row>
    <row r="17" spans="1:13" x14ac:dyDescent="0.2">
      <c r="A17" s="20"/>
      <c r="B17" s="21"/>
      <c r="C17" s="21"/>
      <c r="D17" s="21"/>
      <c r="E17" s="21"/>
      <c r="F17" s="21"/>
      <c r="G17" s="21"/>
      <c r="H17" s="22"/>
    </row>
    <row r="18" spans="1:13" x14ac:dyDescent="0.2">
      <c r="A18" s="40" t="s">
        <v>14</v>
      </c>
      <c r="B18" s="36">
        <f>B15*B16</f>
        <v>0</v>
      </c>
      <c r="C18" s="36">
        <f t="shared" ref="C18:H18" si="6">C15*C16</f>
        <v>112653629.52666773</v>
      </c>
      <c r="D18" s="36">
        <f t="shared" si="6"/>
        <v>123727325.398552</v>
      </c>
      <c r="E18" s="36">
        <f t="shared" si="6"/>
        <v>135889550.24884757</v>
      </c>
      <c r="F18" s="36">
        <f t="shared" si="6"/>
        <v>149247304.96962789</v>
      </c>
      <c r="G18" s="36">
        <f t="shared" si="6"/>
        <v>163918108.49256974</v>
      </c>
      <c r="H18" s="41">
        <f t="shared" si="6"/>
        <v>170524008.26482034</v>
      </c>
      <c r="J18" s="11"/>
    </row>
    <row r="19" spans="1:13" x14ac:dyDescent="0.2">
      <c r="A19" s="20" t="s">
        <v>21</v>
      </c>
      <c r="B19" s="21">
        <v>1</v>
      </c>
      <c r="C19" s="21">
        <f>B19*(1+$K$9)</f>
        <v>1.1112379999999999</v>
      </c>
      <c r="D19" s="21">
        <f t="shared" ref="D19:G19" si="7">C19*(1+$K$9)</f>
        <v>1.2348498926439999</v>
      </c>
      <c r="E19" s="21">
        <f t="shared" si="7"/>
        <v>1.372212125001933</v>
      </c>
      <c r="F19" s="21">
        <f t="shared" si="7"/>
        <v>1.524854257362898</v>
      </c>
      <c r="G19" s="21">
        <f t="shared" si="7"/>
        <v>1.6944759952434321</v>
      </c>
      <c r="H19" s="22"/>
      <c r="J19" s="12">
        <f>(1+G6)*(1+G14)</f>
        <v>1.0982986160180743</v>
      </c>
    </row>
    <row r="20" spans="1:13" x14ac:dyDescent="0.2">
      <c r="A20" s="20" t="s">
        <v>22</v>
      </c>
      <c r="B20" s="27">
        <f>B18/B19</f>
        <v>0</v>
      </c>
      <c r="C20" s="27">
        <f t="shared" ref="C20:G20" si="8">C18/C19</f>
        <v>101376689.35607649</v>
      </c>
      <c r="D20" s="27">
        <f t="shared" si="8"/>
        <v>100196247.44318771</v>
      </c>
      <c r="E20" s="27">
        <f t="shared" si="8"/>
        <v>99029550.732658148</v>
      </c>
      <c r="F20" s="27">
        <f t="shared" si="8"/>
        <v>97876439.17375949</v>
      </c>
      <c r="G20" s="27">
        <f t="shared" si="8"/>
        <v>96736754.579412565</v>
      </c>
      <c r="H20" s="22"/>
    </row>
    <row r="21" spans="1:13" x14ac:dyDescent="0.2">
      <c r="A21" s="20" t="s">
        <v>25</v>
      </c>
      <c r="B21" s="27">
        <f>SUM(B20:G20)</f>
        <v>495215681.28509438</v>
      </c>
      <c r="C21" s="27"/>
      <c r="D21" s="27"/>
      <c r="E21" s="27"/>
      <c r="F21" s="27"/>
      <c r="G21" s="27"/>
      <c r="H21" s="22"/>
    </row>
    <row r="22" spans="1:13" x14ac:dyDescent="0.2">
      <c r="A22" s="20" t="s">
        <v>23</v>
      </c>
      <c r="B22" s="21"/>
      <c r="C22" s="21"/>
      <c r="D22" s="21"/>
      <c r="E22" s="21"/>
      <c r="F22" s="21"/>
      <c r="G22" s="25">
        <f>H18/(K9-K11)</f>
        <v>2403845728.1685529</v>
      </c>
      <c r="H22" s="22"/>
      <c r="M22" s="7"/>
    </row>
    <row r="23" spans="1:13" x14ac:dyDescent="0.2">
      <c r="A23" s="20" t="s">
        <v>24</v>
      </c>
      <c r="B23" s="27">
        <f>G22/G19</f>
        <v>1418636637.4716399</v>
      </c>
      <c r="C23" s="21"/>
      <c r="D23" s="21"/>
      <c r="E23" s="21"/>
      <c r="F23" s="21"/>
      <c r="G23" s="21"/>
      <c r="H23" s="22"/>
    </row>
    <row r="24" spans="1:13" ht="17" thickBot="1" x14ac:dyDescent="0.25">
      <c r="A24" s="29" t="s">
        <v>73</v>
      </c>
      <c r="B24" s="37">
        <f>B23+B21</f>
        <v>1913852318.7567344</v>
      </c>
      <c r="C24" s="38"/>
      <c r="D24" s="38"/>
      <c r="E24" s="38"/>
      <c r="F24" s="38"/>
      <c r="G24" s="38"/>
      <c r="H24" s="39"/>
      <c r="L24">
        <f>B23/B24</f>
        <v>0.74124665919531674</v>
      </c>
    </row>
    <row r="27" spans="1:13" ht="17" thickBot="1" x14ac:dyDescent="0.25">
      <c r="A27" t="s">
        <v>26</v>
      </c>
    </row>
    <row r="28" spans="1:13" x14ac:dyDescent="0.2">
      <c r="A28" s="17"/>
      <c r="B28" s="18">
        <v>2021</v>
      </c>
      <c r="C28" s="18">
        <v>2022</v>
      </c>
      <c r="D28" s="18">
        <v>2023</v>
      </c>
      <c r="E28" s="18">
        <v>2024</v>
      </c>
      <c r="F28" s="18">
        <v>2025</v>
      </c>
      <c r="G28" s="18">
        <v>2026</v>
      </c>
      <c r="H28" s="19">
        <v>2027</v>
      </c>
      <c r="J28" t="s">
        <v>70</v>
      </c>
      <c r="K28" s="3">
        <f>(F42-E42)/E42</f>
        <v>0.13727788596552051</v>
      </c>
    </row>
    <row r="29" spans="1:13" x14ac:dyDescent="0.2">
      <c r="A29" s="20" t="s">
        <v>5</v>
      </c>
      <c r="B29" s="21">
        <v>361000000</v>
      </c>
      <c r="C29" s="21">
        <f>B29*(1+C30)</f>
        <v>381795102.68301129</v>
      </c>
      <c r="D29" s="21">
        <f t="shared" ref="D29:H29" si="9">C29*(1+D30)</f>
        <v>403788089.84136051</v>
      </c>
      <c r="E29" s="21">
        <f t="shared" si="9"/>
        <v>427047964.60708928</v>
      </c>
      <c r="F29" s="21">
        <f t="shared" si="9"/>
        <v>451647704.97987431</v>
      </c>
      <c r="G29" s="21">
        <f t="shared" si="9"/>
        <v>477664492.79594874</v>
      </c>
      <c r="H29" s="22">
        <f t="shared" si="9"/>
        <v>487217782.65186775</v>
      </c>
      <c r="J29" t="s">
        <v>71</v>
      </c>
      <c r="K29" s="3">
        <f>(H42-G42)/G42</f>
        <v>5.0600000000000131E-2</v>
      </c>
    </row>
    <row r="30" spans="1:13" x14ac:dyDescent="0.2">
      <c r="A30" s="35" t="s">
        <v>16</v>
      </c>
      <c r="B30" s="30"/>
      <c r="C30" s="34">
        <f>Sheet1!$O$13</f>
        <v>5.7604162556818009E-2</v>
      </c>
      <c r="D30" s="34">
        <f>Sheet1!$O$13</f>
        <v>5.7604162556818009E-2</v>
      </c>
      <c r="E30" s="34">
        <f>Sheet1!$O$13</f>
        <v>5.7604162556818009E-2</v>
      </c>
      <c r="F30" s="34">
        <f>Sheet1!$O$13</f>
        <v>5.7604162556818009E-2</v>
      </c>
      <c r="G30" s="34">
        <f>Sheet1!$O$13</f>
        <v>5.7604162556818009E-2</v>
      </c>
      <c r="H30" s="42">
        <v>0.02</v>
      </c>
    </row>
    <row r="31" spans="1:13" x14ac:dyDescent="0.2">
      <c r="A31" s="35" t="s">
        <v>4</v>
      </c>
      <c r="B31" s="31">
        <v>0.2</v>
      </c>
      <c r="C31" s="31">
        <v>0.2</v>
      </c>
      <c r="D31" s="31">
        <v>0.2</v>
      </c>
      <c r="E31" s="31">
        <v>0.2</v>
      </c>
      <c r="F31" s="31">
        <v>0.2</v>
      </c>
      <c r="G31" s="31">
        <v>0.2</v>
      </c>
      <c r="H31" s="32">
        <v>0.2</v>
      </c>
    </row>
    <row r="32" spans="1:13" x14ac:dyDescent="0.2">
      <c r="A32" s="20" t="s">
        <v>7</v>
      </c>
      <c r="B32" s="21">
        <f>B29*B31</f>
        <v>72200000</v>
      </c>
      <c r="C32" s="21">
        <f>C29*C31</f>
        <v>76359020.536602259</v>
      </c>
      <c r="D32" s="21">
        <f t="shared" ref="D32:H32" si="10">D29*D31</f>
        <v>80757617.968272105</v>
      </c>
      <c r="E32" s="21">
        <f t="shared" si="10"/>
        <v>85409592.921417862</v>
      </c>
      <c r="F32" s="21">
        <f t="shared" si="10"/>
        <v>90329540.995974869</v>
      </c>
      <c r="G32" s="21">
        <f t="shared" si="10"/>
        <v>95532898.559189752</v>
      </c>
      <c r="H32" s="22">
        <f t="shared" si="10"/>
        <v>97443556.530373558</v>
      </c>
    </row>
    <row r="33" spans="1:12" x14ac:dyDescent="0.2">
      <c r="A33" s="35" t="s">
        <v>6</v>
      </c>
      <c r="B33" s="31">
        <v>0.875</v>
      </c>
      <c r="C33" s="31">
        <v>0.875</v>
      </c>
      <c r="D33" s="31">
        <v>0.875</v>
      </c>
      <c r="E33" s="31">
        <v>0.875</v>
      </c>
      <c r="F33" s="31">
        <v>0.875</v>
      </c>
      <c r="G33" s="31">
        <v>0.875</v>
      </c>
      <c r="H33" s="32">
        <v>0.875</v>
      </c>
    </row>
    <row r="34" spans="1:12" x14ac:dyDescent="0.2">
      <c r="A34" s="20" t="s">
        <v>8</v>
      </c>
      <c r="B34" s="21">
        <f>B32*B33</f>
        <v>63175000</v>
      </c>
      <c r="C34" s="21">
        <f t="shared" ref="C34:H34" si="11">C32*C33</f>
        <v>66814142.969526976</v>
      </c>
      <c r="D34" s="21">
        <f t="shared" si="11"/>
        <v>70662915.722238094</v>
      </c>
      <c r="E34" s="21">
        <f t="shared" si="11"/>
        <v>74733393.806240633</v>
      </c>
      <c r="F34" s="21">
        <f t="shared" si="11"/>
        <v>79038348.371478006</v>
      </c>
      <c r="G34" s="21">
        <f t="shared" si="11"/>
        <v>83591286.239291027</v>
      </c>
      <c r="H34" s="22">
        <f t="shared" si="11"/>
        <v>85263111.964076862</v>
      </c>
    </row>
    <row r="35" spans="1:12" x14ac:dyDescent="0.2">
      <c r="A35" s="35" t="s">
        <v>9</v>
      </c>
      <c r="B35" s="31">
        <v>0</v>
      </c>
      <c r="C35" s="31">
        <v>0.2</v>
      </c>
      <c r="D35" s="31">
        <v>0.2</v>
      </c>
      <c r="E35" s="31">
        <v>0.2</v>
      </c>
      <c r="F35" s="31">
        <v>0.2</v>
      </c>
      <c r="G35" s="31">
        <v>0.2</v>
      </c>
      <c r="H35" s="32">
        <v>0.2</v>
      </c>
    </row>
    <row r="36" spans="1:12" x14ac:dyDescent="0.2">
      <c r="A36" s="20" t="s">
        <v>10</v>
      </c>
      <c r="B36" s="21">
        <f>B34*B35</f>
        <v>0</v>
      </c>
      <c r="C36" s="21">
        <f t="shared" ref="C36:H36" si="12">C34*C35</f>
        <v>13362828.593905397</v>
      </c>
      <c r="D36" s="21">
        <f t="shared" si="12"/>
        <v>14132583.144447619</v>
      </c>
      <c r="E36" s="21">
        <f t="shared" si="12"/>
        <v>14946678.761248127</v>
      </c>
      <c r="F36" s="21">
        <f t="shared" si="12"/>
        <v>15807669.674295602</v>
      </c>
      <c r="G36" s="21">
        <f t="shared" si="12"/>
        <v>16718257.247858206</v>
      </c>
      <c r="H36" s="22">
        <f t="shared" si="12"/>
        <v>17052622.392815374</v>
      </c>
    </row>
    <row r="37" spans="1:12" x14ac:dyDescent="0.2">
      <c r="A37" s="20" t="s">
        <v>11</v>
      </c>
      <c r="B37" s="25">
        <v>59.204062572962876</v>
      </c>
      <c r="C37" s="25">
        <f>B37*(1+C38)</f>
        <v>63.664151019197938</v>
      </c>
      <c r="D37" s="25">
        <f t="shared" ref="D37:H37" si="13">C37*(1+D38)</f>
        <v>68.460236491375667</v>
      </c>
      <c r="E37" s="25">
        <f t="shared" si="13"/>
        <v>73.617631043910066</v>
      </c>
      <c r="F37" s="25">
        <f t="shared" si="13"/>
        <v>79.163553593625167</v>
      </c>
      <c r="G37" s="25">
        <f t="shared" si="13"/>
        <v>85.127273571636934</v>
      </c>
      <c r="H37" s="26">
        <f t="shared" si="13"/>
        <v>87.68109177878604</v>
      </c>
      <c r="L37" s="7">
        <f>K9-K29</f>
        <v>6.0637999999999873E-2</v>
      </c>
    </row>
    <row r="38" spans="1:12" x14ac:dyDescent="0.2">
      <c r="A38" s="35" t="s">
        <v>53</v>
      </c>
      <c r="B38" s="33"/>
      <c r="C38" s="43">
        <f>Sheet1!$O$7</f>
        <v>7.5334162089611065E-2</v>
      </c>
      <c r="D38" s="43">
        <f>Sheet1!$O$7</f>
        <v>7.5334162089611065E-2</v>
      </c>
      <c r="E38" s="43">
        <f>Sheet1!$O$7</f>
        <v>7.5334162089611065E-2</v>
      </c>
      <c r="F38" s="43">
        <f>Sheet1!$O$7</f>
        <v>7.5334162089611065E-2</v>
      </c>
      <c r="G38" s="43">
        <f>Sheet1!$O$7</f>
        <v>7.5334162089611065E-2</v>
      </c>
      <c r="H38" s="32">
        <v>0.03</v>
      </c>
    </row>
    <row r="39" spans="1:12" x14ac:dyDescent="0.2">
      <c r="A39" s="20" t="s">
        <v>12</v>
      </c>
      <c r="B39" s="27">
        <f>B36*B37</f>
        <v>0</v>
      </c>
      <c r="C39" s="27">
        <f t="shared" ref="C39:H39" si="14">C36*C37</f>
        <v>850733137.64604962</v>
      </c>
      <c r="D39" s="27">
        <f t="shared" si="14"/>
        <v>967519984.30291355</v>
      </c>
      <c r="E39" s="27">
        <f t="shared" si="14"/>
        <v>1100339082.3774114</v>
      </c>
      <c r="F39" s="27">
        <f t="shared" si="14"/>
        <v>1251391305.4514232</v>
      </c>
      <c r="G39" s="27">
        <f t="shared" si="14"/>
        <v>1423179658.3794274</v>
      </c>
      <c r="H39" s="28">
        <f t="shared" si="14"/>
        <v>1495192549.0934267</v>
      </c>
    </row>
    <row r="40" spans="1:12" x14ac:dyDescent="0.2">
      <c r="A40" s="20" t="s">
        <v>13</v>
      </c>
      <c r="B40" s="44">
        <v>0.22</v>
      </c>
      <c r="C40" s="44">
        <v>0.22</v>
      </c>
      <c r="D40" s="44">
        <v>0.22</v>
      </c>
      <c r="E40" s="44">
        <v>0.22</v>
      </c>
      <c r="F40" s="44">
        <v>0.22</v>
      </c>
      <c r="G40" s="44">
        <v>0.22</v>
      </c>
      <c r="H40" s="45">
        <v>0.22</v>
      </c>
    </row>
    <row r="41" spans="1:12" x14ac:dyDescent="0.2">
      <c r="A41" s="20"/>
      <c r="B41" s="21"/>
      <c r="C41" s="21"/>
      <c r="D41" s="21"/>
      <c r="E41" s="21"/>
      <c r="F41" s="21"/>
      <c r="G41" s="21"/>
      <c r="H41" s="22"/>
    </row>
    <row r="42" spans="1:12" x14ac:dyDescent="0.2">
      <c r="A42" s="40" t="s">
        <v>14</v>
      </c>
      <c r="B42" s="36">
        <f>B39*B40</f>
        <v>0</v>
      </c>
      <c r="C42" s="36">
        <f t="shared" ref="C42:H42" si="15">C39*C40</f>
        <v>187161290.28213093</v>
      </c>
      <c r="D42" s="36">
        <f>D39*D40</f>
        <v>212854396.54664099</v>
      </c>
      <c r="E42" s="36">
        <f t="shared" si="15"/>
        <v>242074598.12303051</v>
      </c>
      <c r="F42" s="36">
        <f t="shared" si="15"/>
        <v>275306087.1993131</v>
      </c>
      <c r="G42" s="36">
        <f t="shared" si="15"/>
        <v>313099524.84347403</v>
      </c>
      <c r="H42" s="41">
        <f t="shared" si="15"/>
        <v>328942360.80055386</v>
      </c>
    </row>
    <row r="43" spans="1:12" x14ac:dyDescent="0.2">
      <c r="A43" s="20" t="s">
        <v>21</v>
      </c>
      <c r="B43" s="21">
        <v>1</v>
      </c>
      <c r="C43" s="21">
        <f>B43*(1+$K$9)</f>
        <v>1.1112379999999999</v>
      </c>
      <c r="D43" s="21">
        <f t="shared" ref="D43:G43" si="16">C43*(1+$K$9)</f>
        <v>1.2348498926439999</v>
      </c>
      <c r="E43" s="21">
        <f t="shared" si="16"/>
        <v>1.372212125001933</v>
      </c>
      <c r="F43" s="21">
        <f t="shared" si="16"/>
        <v>1.524854257362898</v>
      </c>
      <c r="G43" s="21">
        <f t="shared" si="16"/>
        <v>1.6944759952434321</v>
      </c>
      <c r="H43" s="22"/>
    </row>
    <row r="44" spans="1:12" x14ac:dyDescent="0.2">
      <c r="A44" s="20" t="s">
        <v>22</v>
      </c>
      <c r="B44" s="27">
        <f>B42/B43</f>
        <v>0</v>
      </c>
      <c r="C44" s="27">
        <f t="shared" ref="C44:G44" si="17">C42/C43</f>
        <v>168425927.01305294</v>
      </c>
      <c r="D44" s="27">
        <f t="shared" si="17"/>
        <v>172372689.03258163</v>
      </c>
      <c r="E44" s="27">
        <f t="shared" si="17"/>
        <v>176411936.39991304</v>
      </c>
      <c r="F44" s="27">
        <f t="shared" si="17"/>
        <v>180545836.34466869</v>
      </c>
      <c r="G44" s="27">
        <f t="shared" si="17"/>
        <v>184776606.8816416</v>
      </c>
      <c r="H44" s="22"/>
    </row>
    <row r="45" spans="1:12" x14ac:dyDescent="0.2">
      <c r="A45" s="20" t="s">
        <v>25</v>
      </c>
      <c r="B45" s="27">
        <f>SUM(B44:G44)</f>
        <v>882532995.67185783</v>
      </c>
      <c r="C45" s="21"/>
      <c r="D45" s="21"/>
      <c r="E45" s="21"/>
      <c r="F45" s="21"/>
      <c r="G45" s="21"/>
      <c r="H45" s="22"/>
    </row>
    <row r="46" spans="1:12" x14ac:dyDescent="0.2">
      <c r="A46" s="20" t="s">
        <v>23</v>
      </c>
      <c r="B46" s="21"/>
      <c r="C46" s="21"/>
      <c r="D46" s="21"/>
      <c r="E46" s="21"/>
      <c r="F46" s="21"/>
      <c r="G46" s="25">
        <f>H42/(K9-K29)</f>
        <v>5424690141.5045767</v>
      </c>
      <c r="H46" s="22"/>
    </row>
    <row r="47" spans="1:12" x14ac:dyDescent="0.2">
      <c r="A47" s="20" t="s">
        <v>24</v>
      </c>
      <c r="B47" s="27">
        <f>G46/G43</f>
        <v>3201396866.4839387</v>
      </c>
      <c r="C47" s="21"/>
      <c r="D47" s="21"/>
      <c r="E47" s="21"/>
      <c r="F47" s="21"/>
      <c r="G47" s="21"/>
      <c r="H47" s="22"/>
    </row>
    <row r="48" spans="1:12" ht="17" thickBot="1" x14ac:dyDescent="0.25">
      <c r="A48" s="29" t="s">
        <v>74</v>
      </c>
      <c r="B48" s="37">
        <f>B45+B47</f>
        <v>4083929862.1557965</v>
      </c>
      <c r="C48" s="38"/>
      <c r="D48" s="38"/>
      <c r="E48" s="38"/>
      <c r="F48" s="38"/>
      <c r="G48" s="38"/>
      <c r="H48" s="39"/>
    </row>
    <row r="54" spans="5:5" x14ac:dyDescent="0.2">
      <c r="E54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C695-9369-C64A-836C-B717961E8E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448-CC34-1B4C-9F87-0E5FD9BD5E7A}">
  <dimension ref="A3:Q53"/>
  <sheetViews>
    <sheetView topLeftCell="A3" workbookViewId="0">
      <selection activeCell="G20" sqref="G20"/>
    </sheetView>
  </sheetViews>
  <sheetFormatPr baseColWidth="10" defaultRowHeight="16" x14ac:dyDescent="0.2"/>
  <cols>
    <col min="1" max="1" width="27.1640625" bestFit="1" customWidth="1"/>
    <col min="2" max="2" width="22.33203125" bestFit="1" customWidth="1"/>
    <col min="3" max="3" width="18.6640625" bestFit="1" customWidth="1"/>
    <col min="4" max="6" width="17.6640625" bestFit="1" customWidth="1"/>
    <col min="7" max="7" width="18.6640625" bestFit="1" customWidth="1"/>
    <col min="8" max="8" width="17.6640625" bestFit="1" customWidth="1"/>
    <col min="10" max="10" width="21" bestFit="1" customWidth="1"/>
    <col min="11" max="11" width="20.33203125" bestFit="1" customWidth="1"/>
  </cols>
  <sheetData>
    <row r="3" spans="1:17" ht="17" thickBot="1" x14ac:dyDescent="0.25">
      <c r="A3" t="s">
        <v>15</v>
      </c>
    </row>
    <row r="4" spans="1:17" x14ac:dyDescent="0.2">
      <c r="A4" s="17"/>
      <c r="B4" s="18">
        <v>2021</v>
      </c>
      <c r="C4" s="18">
        <v>2022</v>
      </c>
      <c r="D4" s="18">
        <v>2023</v>
      </c>
      <c r="E4" s="18">
        <v>2024</v>
      </c>
      <c r="F4" s="18">
        <v>2025</v>
      </c>
      <c r="G4" s="18">
        <v>2026</v>
      </c>
      <c r="H4" s="19">
        <v>2027</v>
      </c>
    </row>
    <row r="5" spans="1:17" x14ac:dyDescent="0.2">
      <c r="A5" s="20" t="s">
        <v>27</v>
      </c>
      <c r="B5" s="27">
        <v>21.5</v>
      </c>
      <c r="C5" s="25">
        <f>B5*(1+C6)</f>
        <v>23.035241967114491</v>
      </c>
      <c r="D5" s="25">
        <f t="shared" ref="D5:H5" si="0">C5*(1+D6)</f>
        <v>24.680110348070357</v>
      </c>
      <c r="E5" s="25">
        <f t="shared" si="0"/>
        <v>26.442433192692416</v>
      </c>
      <c r="F5" s="25">
        <f t="shared" si="0"/>
        <v>28.330597525252539</v>
      </c>
      <c r="G5" s="25">
        <f t="shared" si="0"/>
        <v>30.353589258936154</v>
      </c>
      <c r="H5" s="26">
        <f t="shared" si="0"/>
        <v>31.264196936704238</v>
      </c>
      <c r="J5" t="s">
        <v>33</v>
      </c>
      <c r="K5" s="1">
        <v>0.04</v>
      </c>
      <c r="L5" s="6"/>
      <c r="M5" s="6"/>
      <c r="N5" s="6"/>
      <c r="O5" s="6"/>
      <c r="P5" s="6"/>
      <c r="Q5" s="6"/>
    </row>
    <row r="6" spans="1:17" x14ac:dyDescent="0.2">
      <c r="A6" s="35" t="s">
        <v>75</v>
      </c>
      <c r="B6" s="54"/>
      <c r="C6" s="43">
        <f>Sheet1!$O$15</f>
        <v>7.1406603121604351E-2</v>
      </c>
      <c r="D6" s="43">
        <f>Sheet1!$O$15</f>
        <v>7.1406603121604351E-2</v>
      </c>
      <c r="E6" s="43">
        <f>Sheet1!$O$15</f>
        <v>7.1406603121604351E-2</v>
      </c>
      <c r="F6" s="43">
        <f>Sheet1!$O$15</f>
        <v>7.1406603121604351E-2</v>
      </c>
      <c r="G6" s="43">
        <f>Sheet1!$O$15</f>
        <v>7.1406603121604351E-2</v>
      </c>
      <c r="H6" s="55">
        <v>0.03</v>
      </c>
      <c r="K6" s="1"/>
      <c r="L6" s="6"/>
      <c r="M6" s="6"/>
      <c r="N6" s="6"/>
      <c r="O6" s="6"/>
      <c r="P6" s="6"/>
      <c r="Q6" s="6"/>
    </row>
    <row r="7" spans="1:17" x14ac:dyDescent="0.2">
      <c r="A7" s="20" t="s">
        <v>5</v>
      </c>
      <c r="B7" s="21">
        <v>90000000</v>
      </c>
      <c r="C7" s="21">
        <f t="shared" ref="C7:H7" si="1">B7*(1+C8)</f>
        <v>91922007.991957992</v>
      </c>
      <c r="D7" s="21">
        <f t="shared" si="1"/>
        <v>93885061.703039885</v>
      </c>
      <c r="E7" s="21">
        <f t="shared" si="1"/>
        <v>95890037.69102557</v>
      </c>
      <c r="F7" s="21">
        <f t="shared" si="1"/>
        <v>97937831.233151183</v>
      </c>
      <c r="G7" s="21">
        <f t="shared" si="1"/>
        <v>100029356.72587508</v>
      </c>
      <c r="H7" s="22">
        <f t="shared" si="1"/>
        <v>101029650.29313383</v>
      </c>
      <c r="J7" t="s">
        <v>19</v>
      </c>
      <c r="K7" s="1">
        <v>0.1</v>
      </c>
    </row>
    <row r="8" spans="1:17" x14ac:dyDescent="0.2">
      <c r="A8" s="35" t="s">
        <v>16</v>
      </c>
      <c r="B8" s="30"/>
      <c r="C8" s="34">
        <f>Sheet1!$O$11</f>
        <v>2.1355644355088903E-2</v>
      </c>
      <c r="D8" s="31">
        <f>Sheet1!$O$11</f>
        <v>2.1355644355088903E-2</v>
      </c>
      <c r="E8" s="31">
        <f>Sheet1!$O$11</f>
        <v>2.1355644355088903E-2</v>
      </c>
      <c r="F8" s="31">
        <f>Sheet1!$O$11</f>
        <v>2.1355644355088903E-2</v>
      </c>
      <c r="G8" s="31">
        <f>Sheet1!$O$11</f>
        <v>2.1355644355088903E-2</v>
      </c>
      <c r="H8" s="32">
        <v>0.01</v>
      </c>
      <c r="J8" t="s">
        <v>18</v>
      </c>
      <c r="K8" s="4">
        <v>1.1873</v>
      </c>
    </row>
    <row r="9" spans="1:17" x14ac:dyDescent="0.2">
      <c r="A9" s="20" t="s">
        <v>28</v>
      </c>
      <c r="B9" s="46">
        <f>B7*B5</f>
        <v>1935000000</v>
      </c>
      <c r="C9" s="46">
        <f>C7*C5</f>
        <v>2117445696.1977844</v>
      </c>
      <c r="D9" s="46">
        <f t="shared" ref="D9:H9" si="2">D7*D5</f>
        <v>2317093682.8664188</v>
      </c>
      <c r="E9" s="46">
        <f t="shared" si="2"/>
        <v>2535565915.4897013</v>
      </c>
      <c r="F9" s="46">
        <f t="shared" si="2"/>
        <v>2774637279.1625137</v>
      </c>
      <c r="G9" s="46">
        <f t="shared" si="2"/>
        <v>3036250007.8928146</v>
      </c>
      <c r="H9" s="47">
        <f t="shared" si="2"/>
        <v>3158610883.2108951</v>
      </c>
      <c r="J9" t="s">
        <v>20</v>
      </c>
      <c r="K9" s="7">
        <f>K5+K8*(K7-K5)</f>
        <v>0.111238</v>
      </c>
    </row>
    <row r="10" spans="1:17" x14ac:dyDescent="0.2">
      <c r="A10" s="35" t="s">
        <v>30</v>
      </c>
      <c r="B10" s="31">
        <v>0</v>
      </c>
      <c r="C10" s="31">
        <v>0.2</v>
      </c>
      <c r="D10" s="31">
        <v>0.2</v>
      </c>
      <c r="E10" s="31">
        <v>0.2</v>
      </c>
      <c r="F10" s="31">
        <v>0.2</v>
      </c>
      <c r="G10" s="31">
        <v>0.2</v>
      </c>
      <c r="H10" s="32">
        <v>0.2</v>
      </c>
      <c r="J10" t="s">
        <v>72</v>
      </c>
      <c r="K10" s="9">
        <f>(F15-E15)/E15</f>
        <v>9.4287181497564099E-2</v>
      </c>
    </row>
    <row r="11" spans="1:17" x14ac:dyDescent="0.2">
      <c r="A11" s="20" t="s">
        <v>31</v>
      </c>
      <c r="B11" s="48">
        <f t="shared" ref="B11:H11" si="3">B9*(1+B10)</f>
        <v>1935000000</v>
      </c>
      <c r="C11" s="48">
        <f t="shared" si="3"/>
        <v>2540934835.4373412</v>
      </c>
      <c r="D11" s="48">
        <f t="shared" si="3"/>
        <v>2780512419.4397025</v>
      </c>
      <c r="E11" s="48">
        <f t="shared" si="3"/>
        <v>3042679098.5876412</v>
      </c>
      <c r="F11" s="48">
        <f t="shared" si="3"/>
        <v>3329564734.9950166</v>
      </c>
      <c r="G11" s="48">
        <f t="shared" si="3"/>
        <v>3643500009.4713774</v>
      </c>
      <c r="H11" s="49">
        <f t="shared" si="3"/>
        <v>3790333059.8530741</v>
      </c>
      <c r="J11" s="3" t="s">
        <v>71</v>
      </c>
      <c r="K11" s="2">
        <f>(H15-G15)/G15</f>
        <v>4.0300000000000495E-2</v>
      </c>
    </row>
    <row r="12" spans="1:17" x14ac:dyDescent="0.2">
      <c r="A12" s="20" t="s">
        <v>32</v>
      </c>
      <c r="B12" s="48">
        <f t="shared" ref="B12:G12" si="4">B11-B9</f>
        <v>0</v>
      </c>
      <c r="C12" s="48">
        <f t="shared" si="4"/>
        <v>423489139.23955679</v>
      </c>
      <c r="D12" s="48">
        <f t="shared" si="4"/>
        <v>463418736.57328367</v>
      </c>
      <c r="E12" s="48">
        <f t="shared" si="4"/>
        <v>507113183.09793997</v>
      </c>
      <c r="F12" s="48">
        <f t="shared" si="4"/>
        <v>554927455.83250284</v>
      </c>
      <c r="G12" s="48">
        <f t="shared" si="4"/>
        <v>607250001.57856274</v>
      </c>
      <c r="H12" s="49">
        <f>H11-H9</f>
        <v>631722176.64217901</v>
      </c>
      <c r="J12" s="3"/>
    </row>
    <row r="13" spans="1:17" x14ac:dyDescent="0.2">
      <c r="A13" s="56" t="s">
        <v>13</v>
      </c>
      <c r="B13" s="57">
        <v>0.22</v>
      </c>
      <c r="C13" s="57">
        <v>0.22</v>
      </c>
      <c r="D13" s="57">
        <v>0.22</v>
      </c>
      <c r="E13" s="57">
        <v>0.22</v>
      </c>
      <c r="F13" s="57">
        <v>0.22</v>
      </c>
      <c r="G13" s="57">
        <v>0.22</v>
      </c>
      <c r="H13" s="58">
        <v>0.22</v>
      </c>
    </row>
    <row r="14" spans="1:17" x14ac:dyDescent="0.2">
      <c r="A14" s="20"/>
      <c r="B14" s="21"/>
      <c r="C14" s="21"/>
      <c r="D14" s="21"/>
      <c r="E14" s="21"/>
      <c r="F14" s="21"/>
      <c r="G14" s="21"/>
      <c r="H14" s="22"/>
    </row>
    <row r="15" spans="1:17" x14ac:dyDescent="0.2">
      <c r="A15" s="40" t="s">
        <v>14</v>
      </c>
      <c r="B15" s="51">
        <f>B12*B13</f>
        <v>0</v>
      </c>
      <c r="C15" s="51">
        <f t="shared" ref="C15:G15" si="5">C12*C13</f>
        <v>93167610.6327025</v>
      </c>
      <c r="D15" s="51">
        <f t="shared" si="5"/>
        <v>101952122.0461224</v>
      </c>
      <c r="E15" s="51">
        <f t="shared" si="5"/>
        <v>111564900.28154679</v>
      </c>
      <c r="F15" s="51">
        <f t="shared" si="5"/>
        <v>122084040.28315063</v>
      </c>
      <c r="G15" s="51">
        <f t="shared" si="5"/>
        <v>133595000.3472838</v>
      </c>
      <c r="H15" s="52">
        <f>H12*H13</f>
        <v>138978878.8612794</v>
      </c>
      <c r="K15" s="7">
        <f>K9-K11</f>
        <v>7.0937999999999501E-2</v>
      </c>
    </row>
    <row r="16" spans="1:17" x14ac:dyDescent="0.2">
      <c r="A16" s="20" t="s">
        <v>21</v>
      </c>
      <c r="B16" s="21">
        <v>1</v>
      </c>
      <c r="C16" s="21">
        <f>B16*(1+$K$9)</f>
        <v>1.1112379999999999</v>
      </c>
      <c r="D16" s="21">
        <f>C16*(1+$K$9)</f>
        <v>1.2348498926439999</v>
      </c>
      <c r="E16" s="21">
        <f>D16*(1+$K$9)</f>
        <v>1.372212125001933</v>
      </c>
      <c r="F16" s="21">
        <f>E16*(1+$K$9)</f>
        <v>1.524854257362898</v>
      </c>
      <c r="G16" s="21">
        <f>F16*(1+$K$9)</f>
        <v>1.6944759952434321</v>
      </c>
      <c r="H16" s="22"/>
    </row>
    <row r="17" spans="1:17" x14ac:dyDescent="0.2">
      <c r="A17" s="20" t="s">
        <v>22</v>
      </c>
      <c r="B17" s="48">
        <f>B15/B16</f>
        <v>0</v>
      </c>
      <c r="C17" s="48">
        <f t="shared" ref="C17:G17" si="6">C15/C16</f>
        <v>83841274.895839155</v>
      </c>
      <c r="D17" s="48">
        <f t="shared" si="6"/>
        <v>82562360.537463814</v>
      </c>
      <c r="E17" s="48">
        <f t="shared" si="6"/>
        <v>81302954.731863797</v>
      </c>
      <c r="F17" s="48">
        <f t="shared" si="6"/>
        <v>80062759.895679668</v>
      </c>
      <c r="G17" s="48">
        <f t="shared" si="6"/>
        <v>78841482.984886572</v>
      </c>
      <c r="H17" s="49"/>
    </row>
    <row r="18" spans="1:17" x14ac:dyDescent="0.2">
      <c r="A18" s="20" t="s">
        <v>25</v>
      </c>
      <c r="B18" s="48">
        <f>SUM(C17:G17)</f>
        <v>406610833.04573303</v>
      </c>
      <c r="C18" s="21"/>
      <c r="D18" s="21"/>
      <c r="E18" s="21"/>
      <c r="F18" s="21"/>
      <c r="G18" s="21"/>
      <c r="H18" s="22"/>
    </row>
    <row r="19" spans="1:17" x14ac:dyDescent="0.2">
      <c r="A19" s="20" t="s">
        <v>23</v>
      </c>
      <c r="B19" s="21"/>
      <c r="C19" s="21"/>
      <c r="D19" s="21"/>
      <c r="E19" s="21"/>
      <c r="F19" s="21"/>
      <c r="G19" s="27">
        <f>H15/(K9-K11)</f>
        <v>1959159813.6581292</v>
      </c>
      <c r="H19" s="22"/>
    </row>
    <row r="20" spans="1:17" x14ac:dyDescent="0.2">
      <c r="A20" s="20" t="s">
        <v>24</v>
      </c>
      <c r="B20" s="27">
        <f>G19/G16</f>
        <v>1156203935.1148624</v>
      </c>
      <c r="C20" s="21"/>
      <c r="D20" s="21"/>
      <c r="E20" s="21"/>
      <c r="F20" s="21"/>
      <c r="G20" s="21"/>
      <c r="H20" s="22"/>
    </row>
    <row r="21" spans="1:17" ht="17" thickBot="1" x14ac:dyDescent="0.25">
      <c r="A21" s="50" t="s">
        <v>74</v>
      </c>
      <c r="B21" s="37">
        <f>B18+B20</f>
        <v>1562814768.1605954</v>
      </c>
      <c r="C21" s="38"/>
      <c r="D21" s="38"/>
      <c r="E21" s="38"/>
      <c r="F21" s="38"/>
      <c r="G21" s="38"/>
      <c r="H21" s="39"/>
    </row>
    <row r="24" spans="1:17" ht="17" thickBot="1" x14ac:dyDescent="0.25"/>
    <row r="25" spans="1:17" x14ac:dyDescent="0.2">
      <c r="A25" s="17"/>
      <c r="B25" s="18">
        <v>2021</v>
      </c>
      <c r="C25" s="18">
        <v>2022</v>
      </c>
      <c r="D25" s="18">
        <v>2023</v>
      </c>
      <c r="E25" s="18">
        <v>2024</v>
      </c>
      <c r="F25" s="18">
        <v>2025</v>
      </c>
      <c r="G25" s="18">
        <v>2026</v>
      </c>
      <c r="H25" s="19">
        <v>2027</v>
      </c>
      <c r="J25" t="s">
        <v>72</v>
      </c>
      <c r="K25" s="1">
        <f>(F36-E36)/E36</f>
        <v>0.34407700435075494</v>
      </c>
    </row>
    <row r="26" spans="1:17" x14ac:dyDescent="0.2">
      <c r="A26" s="20" t="s">
        <v>27</v>
      </c>
      <c r="B26" s="27">
        <f>B30/B28</f>
        <v>1.4226038781163435</v>
      </c>
      <c r="C26" s="25">
        <f>B26*(1+C27)</f>
        <v>1.8079440556037507</v>
      </c>
      <c r="D26" s="25">
        <f t="shared" ref="D26:H26" si="7">C26*(1+D27)</f>
        <v>2.2976611820578912</v>
      </c>
      <c r="E26" s="25">
        <f t="shared" si="7"/>
        <v>2.9200278023938617</v>
      </c>
      <c r="F26" s="25">
        <f t="shared" si="7"/>
        <v>3.7109746351358659</v>
      </c>
      <c r="G26" s="25">
        <f t="shared" si="7"/>
        <v>4.716164939022816</v>
      </c>
      <c r="H26" s="26">
        <f t="shared" si="7"/>
        <v>4.8576498871935003</v>
      </c>
      <c r="J26" s="3" t="s">
        <v>71</v>
      </c>
      <c r="K26" s="1">
        <f>(H36-G36)/G36</f>
        <v>5.0600000000000138E-2</v>
      </c>
      <c r="L26" s="5"/>
      <c r="M26" s="5"/>
      <c r="N26" s="5"/>
      <c r="O26" s="5"/>
      <c r="P26" s="5"/>
      <c r="Q26" s="5"/>
    </row>
    <row r="27" spans="1:17" x14ac:dyDescent="0.2">
      <c r="A27" s="53" t="s">
        <v>69</v>
      </c>
      <c r="B27" s="54"/>
      <c r="C27" s="43">
        <f>Sheet1!$O$17</f>
        <v>0.27086962394453223</v>
      </c>
      <c r="D27" s="43">
        <f>Sheet1!$O$17</f>
        <v>0.27086962394453223</v>
      </c>
      <c r="E27" s="43">
        <f>Sheet1!$O$17</f>
        <v>0.27086962394453223</v>
      </c>
      <c r="F27" s="43">
        <f>Sheet1!$O$17</f>
        <v>0.27086962394453223</v>
      </c>
      <c r="G27" s="43">
        <f>Sheet1!$O$17</f>
        <v>0.27086962394453223</v>
      </c>
      <c r="H27" s="55">
        <v>0.03</v>
      </c>
      <c r="L27" s="5"/>
      <c r="M27" s="5"/>
      <c r="N27" s="5"/>
      <c r="O27" s="5"/>
      <c r="P27" s="5"/>
      <c r="Q27" s="5"/>
    </row>
    <row r="28" spans="1:17" x14ac:dyDescent="0.2">
      <c r="A28" s="20" t="s">
        <v>5</v>
      </c>
      <c r="B28" s="21">
        <v>361000000</v>
      </c>
      <c r="C28" s="21">
        <f>B28*(1+C29)</f>
        <v>381795102.68301129</v>
      </c>
      <c r="D28" s="21">
        <f t="shared" ref="D28:H28" si="8">C28*(1+D29)</f>
        <v>403788089.84136051</v>
      </c>
      <c r="E28" s="21">
        <f t="shared" si="8"/>
        <v>427047964.60708928</v>
      </c>
      <c r="F28" s="21">
        <f t="shared" si="8"/>
        <v>451647704.97987431</v>
      </c>
      <c r="G28" s="21">
        <f t="shared" si="8"/>
        <v>477664492.79594874</v>
      </c>
      <c r="H28" s="22">
        <f t="shared" si="8"/>
        <v>487217782.65186775</v>
      </c>
    </row>
    <row r="29" spans="1:17" x14ac:dyDescent="0.2">
      <c r="A29" s="53" t="s">
        <v>16</v>
      </c>
      <c r="B29" s="30"/>
      <c r="C29" s="31">
        <f>Sheet1!$O$13</f>
        <v>5.7604162556818009E-2</v>
      </c>
      <c r="D29" s="31">
        <f>Sheet1!$O$13</f>
        <v>5.7604162556818009E-2</v>
      </c>
      <c r="E29" s="31">
        <f>Sheet1!$O$13</f>
        <v>5.7604162556818009E-2</v>
      </c>
      <c r="F29" s="31">
        <f>Sheet1!$O$13</f>
        <v>5.7604162556818009E-2</v>
      </c>
      <c r="G29" s="31">
        <f>Sheet1!$O$13</f>
        <v>5.7604162556818009E-2</v>
      </c>
      <c r="H29" s="32">
        <v>0.02</v>
      </c>
    </row>
    <row r="30" spans="1:17" x14ac:dyDescent="0.2">
      <c r="A30" s="20" t="s">
        <v>28</v>
      </c>
      <c r="B30" s="25">
        <f>2567800000*0.2</f>
        <v>513560000</v>
      </c>
      <c r="C30" s="27">
        <f>C28*C26</f>
        <v>690264186.35437393</v>
      </c>
      <c r="D30" s="27">
        <f t="shared" ref="D30:H30" si="9">D28*D26</f>
        <v>927768219.80579829</v>
      </c>
      <c r="E30" s="27">
        <f t="shared" si="9"/>
        <v>1246991929.6084106</v>
      </c>
      <c r="F30" s="27">
        <f t="shared" si="9"/>
        <v>1676053177.1976402</v>
      </c>
      <c r="G30" s="27">
        <f t="shared" si="9"/>
        <v>2252744533.54037</v>
      </c>
      <c r="H30" s="28">
        <f t="shared" si="9"/>
        <v>2366733406.9375129</v>
      </c>
    </row>
    <row r="31" spans="1:17" x14ac:dyDescent="0.2">
      <c r="A31" s="53" t="s">
        <v>30</v>
      </c>
      <c r="B31" s="31">
        <v>0</v>
      </c>
      <c r="C31" s="31">
        <v>0.2</v>
      </c>
      <c r="D31" s="31">
        <v>0.2</v>
      </c>
      <c r="E31" s="31">
        <v>0.2</v>
      </c>
      <c r="F31" s="31">
        <v>0.2</v>
      </c>
      <c r="G31" s="31">
        <v>0.2</v>
      </c>
      <c r="H31" s="32">
        <v>0.2</v>
      </c>
    </row>
    <row r="32" spans="1:17" x14ac:dyDescent="0.2">
      <c r="A32" s="20" t="s">
        <v>31</v>
      </c>
      <c r="B32" s="27">
        <f>B30*(1+B31)</f>
        <v>513560000</v>
      </c>
      <c r="C32" s="27">
        <f t="shared" ref="C32:H32" si="10">C30*(1+C31)</f>
        <v>828317023.62524867</v>
      </c>
      <c r="D32" s="27">
        <f t="shared" si="10"/>
        <v>1113321863.766958</v>
      </c>
      <c r="E32" s="27">
        <f t="shared" si="10"/>
        <v>1496390315.5300927</v>
      </c>
      <c r="F32" s="27">
        <f t="shared" si="10"/>
        <v>2011263812.6371682</v>
      </c>
      <c r="G32" s="27">
        <f t="shared" si="10"/>
        <v>2703293440.2484441</v>
      </c>
      <c r="H32" s="28">
        <f t="shared" si="10"/>
        <v>2840080088.3250155</v>
      </c>
      <c r="K32" s="9">
        <f>K9-K26</f>
        <v>6.0637999999999866E-2</v>
      </c>
    </row>
    <row r="33" spans="1:11" x14ac:dyDescent="0.2">
      <c r="A33" s="20" t="s">
        <v>32</v>
      </c>
      <c r="B33" s="27">
        <f>B32-B30</f>
        <v>0</v>
      </c>
      <c r="C33" s="27">
        <f t="shared" ref="C33:H33" si="11">C32-C30</f>
        <v>138052837.27087474</v>
      </c>
      <c r="D33" s="27">
        <f t="shared" si="11"/>
        <v>185553643.96115971</v>
      </c>
      <c r="E33" s="27">
        <f t="shared" si="11"/>
        <v>249398385.92168212</v>
      </c>
      <c r="F33" s="27">
        <f t="shared" si="11"/>
        <v>335210635.43952799</v>
      </c>
      <c r="G33" s="27">
        <f t="shared" si="11"/>
        <v>450548906.70807409</v>
      </c>
      <c r="H33" s="28">
        <f t="shared" si="11"/>
        <v>473346681.38750267</v>
      </c>
      <c r="K33" s="59"/>
    </row>
    <row r="34" spans="1:11" x14ac:dyDescent="0.2">
      <c r="A34" s="20" t="s">
        <v>13</v>
      </c>
      <c r="B34" s="44">
        <v>0.22</v>
      </c>
      <c r="C34" s="44">
        <v>0.22</v>
      </c>
      <c r="D34" s="44">
        <v>0.22</v>
      </c>
      <c r="E34" s="44">
        <v>0.22</v>
      </c>
      <c r="F34" s="44">
        <v>0.22</v>
      </c>
      <c r="G34" s="44">
        <v>0.22</v>
      </c>
      <c r="H34" s="45">
        <v>0.22</v>
      </c>
    </row>
    <row r="35" spans="1:11" x14ac:dyDescent="0.2">
      <c r="A35" s="20"/>
      <c r="B35" s="21"/>
      <c r="C35" s="21"/>
      <c r="D35" s="21"/>
      <c r="E35" s="21"/>
      <c r="F35" s="21"/>
      <c r="G35" s="21"/>
      <c r="H35" s="22"/>
    </row>
    <row r="36" spans="1:11" x14ac:dyDescent="0.2">
      <c r="A36" s="40" t="s">
        <v>14</v>
      </c>
      <c r="B36" s="36">
        <f>B33*B34</f>
        <v>0</v>
      </c>
      <c r="C36" s="36">
        <f t="shared" ref="C36:H36" si="12">C33*C34</f>
        <v>30371624.199592441</v>
      </c>
      <c r="D36" s="36">
        <f t="shared" si="12"/>
        <v>40821801.671455137</v>
      </c>
      <c r="E36" s="36">
        <f t="shared" si="12"/>
        <v>54867644.902770065</v>
      </c>
      <c r="F36" s="36">
        <f t="shared" si="12"/>
        <v>73746339.796696156</v>
      </c>
      <c r="G36" s="36">
        <f t="shared" si="12"/>
        <v>99120759.4757763</v>
      </c>
      <c r="H36" s="41">
        <f t="shared" si="12"/>
        <v>104136269.90525059</v>
      </c>
    </row>
    <row r="37" spans="1:11" x14ac:dyDescent="0.2">
      <c r="A37" s="20" t="s">
        <v>21</v>
      </c>
      <c r="B37" s="21">
        <v>1</v>
      </c>
      <c r="C37" s="21">
        <f>B37*(1+$K$9)</f>
        <v>1.1112379999999999</v>
      </c>
      <c r="D37" s="21">
        <f t="shared" ref="D37:G37" si="13">C37*(1+$K$9)</f>
        <v>1.2348498926439999</v>
      </c>
      <c r="E37" s="21">
        <f t="shared" si="13"/>
        <v>1.372212125001933</v>
      </c>
      <c r="F37" s="21">
        <f t="shared" si="13"/>
        <v>1.524854257362898</v>
      </c>
      <c r="G37" s="21">
        <f t="shared" si="13"/>
        <v>1.6944759952434321</v>
      </c>
      <c r="H37" s="22"/>
    </row>
    <row r="38" spans="1:11" x14ac:dyDescent="0.2">
      <c r="A38" s="20" t="s">
        <v>22</v>
      </c>
      <c r="B38" s="27">
        <f>B36/B37</f>
        <v>0</v>
      </c>
      <c r="C38" s="27">
        <f t="shared" ref="C38:G38" si="14">C36/C37</f>
        <v>27331340.540543467</v>
      </c>
      <c r="D38" s="27">
        <f t="shared" si="14"/>
        <v>33058108.450776558</v>
      </c>
      <c r="E38" s="27">
        <f t="shared" si="14"/>
        <v>39984812.772801273</v>
      </c>
      <c r="F38" s="27">
        <f t="shared" si="14"/>
        <v>48362877.593452111</v>
      </c>
      <c r="G38" s="27">
        <f t="shared" si="14"/>
        <v>58496408.184015848</v>
      </c>
      <c r="H38" s="22"/>
    </row>
    <row r="39" spans="1:11" x14ac:dyDescent="0.2">
      <c r="A39" s="20" t="s">
        <v>25</v>
      </c>
      <c r="B39" s="27">
        <f>SUM(C38:G38)</f>
        <v>207233547.54158923</v>
      </c>
      <c r="C39" s="21"/>
      <c r="D39" s="21"/>
      <c r="E39" s="21"/>
      <c r="F39" s="21"/>
      <c r="G39" s="21"/>
      <c r="H39" s="22"/>
    </row>
    <row r="40" spans="1:11" x14ac:dyDescent="0.2">
      <c r="A40" s="20" t="s">
        <v>23</v>
      </c>
      <c r="B40" s="21"/>
      <c r="C40" s="21"/>
      <c r="D40" s="21"/>
      <c r="E40" s="21"/>
      <c r="F40" s="21"/>
      <c r="G40" s="27">
        <f>H36/(K9-K10)</f>
        <v>6143436075.9797983</v>
      </c>
      <c r="H40" s="22"/>
    </row>
    <row r="41" spans="1:11" x14ac:dyDescent="0.2">
      <c r="A41" s="20" t="s">
        <v>24</v>
      </c>
      <c r="B41" s="27">
        <f>G40/G37</f>
        <v>3625566896.9197874</v>
      </c>
      <c r="C41" s="21"/>
      <c r="D41" s="21"/>
      <c r="E41" s="21"/>
      <c r="F41" s="21"/>
      <c r="G41" s="21"/>
      <c r="H41" s="22"/>
    </row>
    <row r="42" spans="1:11" ht="17" thickBot="1" x14ac:dyDescent="0.25">
      <c r="A42" s="50" t="s">
        <v>73</v>
      </c>
      <c r="B42" s="37">
        <f>B39+B41</f>
        <v>3832800444.4613767</v>
      </c>
      <c r="C42" s="38"/>
      <c r="D42" s="38"/>
      <c r="E42" s="38"/>
      <c r="F42" s="38"/>
      <c r="G42" s="38"/>
      <c r="H42" s="39"/>
    </row>
    <row r="53" spans="3:3" x14ac:dyDescent="0.2">
      <c r="C53" s="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5B51-B942-FB41-B118-20A0F4133CD5}">
  <dimension ref="A1:I34"/>
  <sheetViews>
    <sheetView tabSelected="1" workbookViewId="0">
      <selection activeCell="A26" sqref="A26:C34"/>
    </sheetView>
  </sheetViews>
  <sheetFormatPr baseColWidth="10" defaultRowHeight="16" x14ac:dyDescent="0.2"/>
  <cols>
    <col min="1" max="1" width="13.5" bestFit="1" customWidth="1"/>
    <col min="2" max="2" width="23.1640625" bestFit="1" customWidth="1"/>
    <col min="3" max="3" width="19.6640625" bestFit="1" customWidth="1"/>
    <col min="9" max="9" width="19.6640625" bestFit="1" customWidth="1"/>
  </cols>
  <sheetData>
    <row r="1" spans="1:9" ht="17" thickBot="1" x14ac:dyDescent="0.25"/>
    <row r="2" spans="1:9" x14ac:dyDescent="0.2">
      <c r="A2" s="17" t="s">
        <v>36</v>
      </c>
      <c r="B2" s="60"/>
      <c r="C2" s="61"/>
    </row>
    <row r="3" spans="1:9" x14ac:dyDescent="0.2">
      <c r="A3" s="20"/>
      <c r="B3" s="21" t="s">
        <v>35</v>
      </c>
      <c r="C3" s="26">
        <v>271.7</v>
      </c>
    </row>
    <row r="4" spans="1:9" x14ac:dyDescent="0.2">
      <c r="A4" s="20"/>
      <c r="B4" s="21" t="s">
        <v>37</v>
      </c>
      <c r="C4" s="22">
        <v>1174900000</v>
      </c>
    </row>
    <row r="5" spans="1:9" x14ac:dyDescent="0.2">
      <c r="A5" s="20"/>
      <c r="B5" s="21" t="s">
        <v>38</v>
      </c>
      <c r="C5" s="28">
        <f>C3*C4</f>
        <v>319220330000</v>
      </c>
    </row>
    <row r="6" spans="1:9" x14ac:dyDescent="0.2">
      <c r="A6" s="20"/>
      <c r="B6" s="21" t="s">
        <v>39</v>
      </c>
      <c r="C6" s="26">
        <v>55.58</v>
      </c>
    </row>
    <row r="7" spans="1:9" x14ac:dyDescent="0.2">
      <c r="A7" s="20"/>
      <c r="B7" s="21" t="s">
        <v>40</v>
      </c>
      <c r="C7" s="62">
        <v>562700000</v>
      </c>
    </row>
    <row r="8" spans="1:9" x14ac:dyDescent="0.2">
      <c r="A8" s="20"/>
      <c r="B8" s="21" t="s">
        <v>41</v>
      </c>
      <c r="C8" s="28">
        <f>C6*C7</f>
        <v>31274866000</v>
      </c>
    </row>
    <row r="9" spans="1:9" x14ac:dyDescent="0.2">
      <c r="A9" s="20"/>
      <c r="B9" s="21"/>
      <c r="C9" s="22"/>
    </row>
    <row r="10" spans="1:9" x14ac:dyDescent="0.2">
      <c r="A10" s="20"/>
      <c r="B10" s="63" t="s">
        <v>42</v>
      </c>
      <c r="C10" s="64">
        <f>'New ARPU for PINS'!B42+'New ARPU for PINS'!B21+'New Users for PYPL'!B48+'New Users for PYPL'!B24</f>
        <v>11393397393.534504</v>
      </c>
    </row>
    <row r="11" spans="1:9" x14ac:dyDescent="0.2">
      <c r="A11" s="20"/>
      <c r="B11" s="21"/>
      <c r="C11" s="22"/>
    </row>
    <row r="12" spans="1:9" x14ac:dyDescent="0.2">
      <c r="A12" s="20"/>
      <c r="B12" s="21" t="s">
        <v>43</v>
      </c>
      <c r="C12" s="26">
        <v>39000000000</v>
      </c>
      <c r="I12" s="6"/>
    </row>
    <row r="13" spans="1:9" x14ac:dyDescent="0.2">
      <c r="A13" s="20"/>
      <c r="B13" s="65" t="s">
        <v>44</v>
      </c>
      <c r="C13" s="41">
        <f>C12-C8</f>
        <v>7725134000</v>
      </c>
    </row>
    <row r="14" spans="1:9" x14ac:dyDescent="0.2">
      <c r="A14" s="20"/>
      <c r="B14" s="66" t="s">
        <v>50</v>
      </c>
      <c r="C14" s="67">
        <f>(C12-C8)/C8</f>
        <v>0.24700774097641218</v>
      </c>
    </row>
    <row r="15" spans="1:9" x14ac:dyDescent="0.2">
      <c r="A15" s="20"/>
      <c r="B15" s="21"/>
      <c r="C15" s="22"/>
    </row>
    <row r="16" spans="1:9" x14ac:dyDescent="0.2">
      <c r="A16" s="20"/>
      <c r="B16" s="21" t="s">
        <v>45</v>
      </c>
      <c r="C16" s="28">
        <f>C5+C8+C10</f>
        <v>361888593393.53448</v>
      </c>
    </row>
    <row r="17" spans="1:3" x14ac:dyDescent="0.2">
      <c r="A17" s="20"/>
      <c r="B17" s="21" t="s">
        <v>46</v>
      </c>
      <c r="C17" s="22">
        <f>C12*C4/(C16-C12)</f>
        <v>141909937.16570702</v>
      </c>
    </row>
    <row r="18" spans="1:3" x14ac:dyDescent="0.2">
      <c r="A18" s="20"/>
      <c r="B18" s="65" t="s">
        <v>47</v>
      </c>
      <c r="C18" s="41">
        <f>C16/(C4+C17)</f>
        <v>274.82219201083876</v>
      </c>
    </row>
    <row r="19" spans="1:3" x14ac:dyDescent="0.2">
      <c r="A19" s="20"/>
      <c r="B19" s="21"/>
      <c r="C19" s="22"/>
    </row>
    <row r="20" spans="1:3" x14ac:dyDescent="0.2">
      <c r="A20" s="20"/>
      <c r="B20" s="65" t="s">
        <v>48</v>
      </c>
      <c r="C20" s="41">
        <f>C4*C18-C5</f>
        <v>3668263393.5344849</v>
      </c>
    </row>
    <row r="21" spans="1:3" x14ac:dyDescent="0.2">
      <c r="A21" s="20"/>
      <c r="B21" s="21"/>
      <c r="C21" s="22"/>
    </row>
    <row r="22" spans="1:3" ht="17" thickBot="1" x14ac:dyDescent="0.25">
      <c r="A22" s="68"/>
      <c r="B22" s="38" t="s">
        <v>49</v>
      </c>
      <c r="C22" s="39" t="str">
        <f>IF(C20&lt;0, "NO", "YES")</f>
        <v>YES</v>
      </c>
    </row>
    <row r="25" spans="1:3" ht="17" thickBot="1" x14ac:dyDescent="0.25"/>
    <row r="26" spans="1:3" x14ac:dyDescent="0.2">
      <c r="A26" s="69" t="s">
        <v>51</v>
      </c>
      <c r="B26" s="60"/>
      <c r="C26" s="61"/>
    </row>
    <row r="27" spans="1:3" x14ac:dyDescent="0.2">
      <c r="A27" s="20" t="s">
        <v>52</v>
      </c>
      <c r="B27" s="21"/>
      <c r="C27" s="22"/>
    </row>
    <row r="28" spans="1:3" x14ac:dyDescent="0.2">
      <c r="A28" s="20"/>
      <c r="B28" s="21" t="s">
        <v>39</v>
      </c>
      <c r="C28" s="26">
        <v>81.12</v>
      </c>
    </row>
    <row r="29" spans="1:3" x14ac:dyDescent="0.2">
      <c r="A29" s="20"/>
      <c r="B29" s="21" t="s">
        <v>40</v>
      </c>
      <c r="C29" s="62">
        <v>562700000</v>
      </c>
    </row>
    <row r="30" spans="1:3" x14ac:dyDescent="0.2">
      <c r="A30" s="20"/>
      <c r="B30" s="21" t="s">
        <v>41</v>
      </c>
      <c r="C30" s="28">
        <f>C28*C29</f>
        <v>45646224000</v>
      </c>
    </row>
    <row r="31" spans="1:3" x14ac:dyDescent="0.2">
      <c r="A31" s="20"/>
      <c r="B31" s="21"/>
      <c r="C31" s="22"/>
    </row>
    <row r="32" spans="1:3" x14ac:dyDescent="0.2">
      <c r="A32" s="20"/>
      <c r="B32" s="21" t="s">
        <v>43</v>
      </c>
      <c r="C32" s="26">
        <v>51000000000</v>
      </c>
    </row>
    <row r="33" spans="1:3" x14ac:dyDescent="0.2">
      <c r="A33" s="20"/>
      <c r="B33" s="65" t="s">
        <v>44</v>
      </c>
      <c r="C33" s="41">
        <f>C32-C30</f>
        <v>5353776000</v>
      </c>
    </row>
    <row r="34" spans="1:3" ht="17" thickBot="1" x14ac:dyDescent="0.25">
      <c r="A34" s="68"/>
      <c r="B34" s="70" t="s">
        <v>50</v>
      </c>
      <c r="C34" s="71">
        <f>(C32-C30)/C30</f>
        <v>0.11728847494592323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Users for PYPL</vt:lpstr>
      <vt:lpstr>Sheet2</vt:lpstr>
      <vt:lpstr>New ARPU for PINS</vt:lpstr>
      <vt:lpstr>Stock 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Cavallero</dc:creator>
  <cp:lastModifiedBy>Francesco Cavallero</cp:lastModifiedBy>
  <dcterms:created xsi:type="dcterms:W3CDTF">2021-12-02T00:08:14Z</dcterms:created>
  <dcterms:modified xsi:type="dcterms:W3CDTF">2022-03-18T19:25:48Z</dcterms:modified>
</cp:coreProperties>
</file>